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nderumlage" sheetId="1" state="visible" r:id="rId1"/>
    <sheet xmlns:r="http://schemas.openxmlformats.org/officeDocument/2006/relationships" name="Übersicht" sheetId="2" state="visible" r:id="rId2"/>
    <sheet xmlns:r="http://schemas.openxmlformats.org/officeDocument/2006/relationships" name="Anleitung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 &quot;€&quot;"/>
    <numFmt numFmtId="165" formatCode="DD.MM.YYYY"/>
    <numFmt numFmtId="166" formatCode="0.0"/>
  </numFmts>
  <fonts count="7">
    <font>
      <name val="Calibri"/>
      <family val="2"/>
      <color theme="1"/>
      <sz val="11"/>
      <scheme val="minor"/>
    </font>
    <font>
      <b val="1"/>
      <color rgb="001E293B"/>
      <sz val="14"/>
    </font>
    <font>
      <b val="1"/>
      <color rgb="00C8102E"/>
      <sz val="12"/>
    </font>
    <font>
      <b val="1"/>
    </font>
    <font>
      <b val="1"/>
      <color rgb="00FFFFFF"/>
      <sz val="11"/>
    </font>
    <font>
      <b val="1"/>
      <color rgb="00C8102E"/>
    </font>
    <font>
      <i val="1"/>
      <color rgb="00475569"/>
    </font>
  </fonts>
  <fills count="6">
    <fill>
      <patternFill/>
    </fill>
    <fill>
      <patternFill patternType="gray125"/>
    </fill>
    <fill>
      <patternFill patternType="solid">
        <fgColor rgb="00FFFBEB"/>
      </patternFill>
    </fill>
    <fill>
      <patternFill patternType="solid">
        <fgColor rgb="001E293B"/>
      </patternFill>
    </fill>
    <fill>
      <patternFill patternType="solid">
        <fgColor rgb="00F8FAFC"/>
      </patternFill>
    </fill>
    <fill>
      <patternFill patternType="solid">
        <fgColor rgb="0014B8A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0" borderId="0" pivotButton="0" quotePrefix="0" xfId="0"/>
    <xf numFmtId="0" fontId="0" fillId="0" borderId="1" applyAlignment="1" pivotButton="0" quotePrefix="0" xfId="0">
      <alignment horizontal="left"/>
    </xf>
    <xf numFmtId="0" fontId="0" fillId="2" borderId="1" pivotButton="0" quotePrefix="0" xfId="0"/>
    <xf numFmtId="0" fontId="4" fillId="3" borderId="1" applyAlignment="1" pivotButton="0" quotePrefix="0" xfId="0">
      <alignment horizontal="center"/>
    </xf>
    <xf numFmtId="0" fontId="0" fillId="0" borderId="1" pivotButton="0" quotePrefix="0" xfId="0"/>
    <xf numFmtId="164" fontId="0" fillId="0" borderId="1" pivotButton="0" quotePrefix="0" xfId="0"/>
    <xf numFmtId="165" fontId="0" fillId="0" borderId="1" pivotButton="0" quotePrefix="0" xfId="0"/>
    <xf numFmtId="165" fontId="0" fillId="0" borderId="1" applyAlignment="1" pivotButton="0" quotePrefix="0" xfId="0">
      <alignment horizontal="left"/>
    </xf>
    <xf numFmtId="164" fontId="0" fillId="0" borderId="1" applyAlignment="1" pivotButton="0" quotePrefix="0" xfId="0">
      <alignment horizontal="left"/>
    </xf>
    <xf numFmtId="164" fontId="0" fillId="2" borderId="1" applyAlignment="1" pivotButton="0" quotePrefix="0" xfId="0">
      <alignment horizontal="left"/>
    </xf>
    <xf numFmtId="0" fontId="4" fillId="3" borderId="1" applyAlignment="1" pivotButton="0" quotePrefix="0" xfId="0">
      <alignment horizontal="center" vertical="center" wrapText="1"/>
    </xf>
    <xf numFmtId="164" fontId="4" fillId="3" borderId="1" applyAlignment="1" pivotButton="0" quotePrefix="0" xfId="0">
      <alignment horizontal="center" vertical="center" wrapText="1"/>
    </xf>
    <xf numFmtId="0" fontId="3" fillId="4" borderId="1" pivotButton="0" quotePrefix="0" xfId="0"/>
    <xf numFmtId="0" fontId="0" fillId="4" borderId="1" applyAlignment="1" pivotButton="0" quotePrefix="0" xfId="0">
      <alignment horizontal="left"/>
    </xf>
    <xf numFmtId="0" fontId="0" fillId="4" borderId="1" pivotButton="0" quotePrefix="0" xfId="0"/>
    <xf numFmtId="166" fontId="0" fillId="4" borderId="1" pivotButton="0" quotePrefix="0" xfId="0"/>
    <xf numFmtId="10" fontId="0" fillId="4" borderId="1" pivotButton="0" quotePrefix="0" xfId="0"/>
    <xf numFmtId="164" fontId="0" fillId="4" borderId="1" pivotButton="0" quotePrefix="0" xfId="0"/>
    <xf numFmtId="165" fontId="0" fillId="2" borderId="1" pivotButton="0" quotePrefix="0" xfId="0"/>
    <xf numFmtId="164" fontId="0" fillId="2" borderId="1" pivotButton="0" quotePrefix="0" xfId="0"/>
    <xf numFmtId="0" fontId="3" fillId="0" borderId="1" pivotButton="0" quotePrefix="0" xfId="0"/>
    <xf numFmtId="0" fontId="0" fillId="2" borderId="1" applyAlignment="1" pivotButton="0" quotePrefix="0" xfId="0">
      <alignment horizontal="left"/>
    </xf>
    <xf numFmtId="166" fontId="0" fillId="0" borderId="1" pivotButton="0" quotePrefix="0" xfId="0"/>
    <xf numFmtId="10" fontId="0" fillId="0" borderId="1" pivotButton="0" quotePrefix="0" xfId="0"/>
    <xf numFmtId="0" fontId="4" fillId="5" borderId="1" pivotButton="0" quotePrefix="0" xfId="0"/>
    <xf numFmtId="10" fontId="4" fillId="5" borderId="1" pivotButton="0" quotePrefix="0" xfId="0"/>
    <xf numFmtId="164" fontId="4" fillId="5" borderId="1" pivotButton="0" quotePrefix="0" xfId="0"/>
    <xf numFmtId="1" fontId="0" fillId="0" borderId="1" pivotButton="0" quotePrefix="0" xfId="0"/>
    <xf numFmtId="0" fontId="1" fillId="0" borderId="0" pivotButton="0" quotePrefix="0" xfId="0"/>
    <xf numFmtId="0" fontId="4" fillId="3" borderId="1" pivotButton="0" quotePrefix="0" xfId="0"/>
    <xf numFmtId="164" fontId="3" fillId="4" borderId="1" pivotButton="0" quotePrefix="0" xfId="0"/>
    <xf numFmtId="164" fontId="3" fillId="0" borderId="1" pivotButton="0" quotePrefix="0" xfId="0"/>
    <xf numFmtId="10" fontId="3" fillId="4" borderId="1" pivotButton="0" quotePrefix="0" xfId="0"/>
    <xf numFmtId="1" fontId="3" fillId="0" borderId="1" pivotButton="0" quotePrefix="0" xfId="0"/>
    <xf numFmtId="1" fontId="3" fillId="4" borderId="1" pivotButton="0" quotePrefix="0" xfId="0"/>
    <xf numFmtId="0" fontId="5" fillId="0" borderId="0" pivotButton="0" quotePrefix="0" xfId="0"/>
    <xf numFmtId="0" fontId="0" fillId="4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6" fillId="0" borderId="0" pivotButton="0" quotePrefix="0" xfId="0"/>
    <xf numFmtId="164" fontId="0" fillId="0" borderId="1" pivotButton="0" quotePrefix="0" xfId="0"/>
    <xf numFmtId="164" fontId="0" fillId="0" borderId="1" applyAlignment="1" pivotButton="0" quotePrefix="0" xfId="0">
      <alignment horizontal="left"/>
    </xf>
    <xf numFmtId="164" fontId="0" fillId="2" borderId="1" applyAlignment="1" pivotButton="0" quotePrefix="0" xfId="0">
      <alignment horizontal="left"/>
    </xf>
    <xf numFmtId="164" fontId="4" fillId="3" borderId="1" applyAlignment="1" pivotButton="0" quotePrefix="0" xfId="0">
      <alignment horizontal="center" vertical="center" wrapText="1"/>
    </xf>
    <xf numFmtId="166" fontId="0" fillId="4" borderId="1" pivotButton="0" quotePrefix="0" xfId="0"/>
    <xf numFmtId="164" fontId="0" fillId="4" borderId="1" pivotButton="0" quotePrefix="0" xfId="0"/>
    <xf numFmtId="164" fontId="0" fillId="2" borderId="1" pivotButton="0" quotePrefix="0" xfId="0"/>
    <xf numFmtId="166" fontId="0" fillId="0" borderId="1" pivotButton="0" quotePrefix="0" xfId="0"/>
    <xf numFmtId="164" fontId="4" fillId="5" borderId="1" pivotButton="0" quotePrefix="0" xfId="0"/>
    <xf numFmtId="164" fontId="3" fillId="4" borderId="1" pivotButton="0" quotePrefix="0" xfId="0"/>
    <xf numFmtId="164" fontId="3" fillId="0" borderId="1" pivotButton="0" quotePrefix="0" xfId="0"/>
  </cellXfs>
  <cellStyles count="1">
    <cellStyle name="Normal" xfId="0" builtinId="0" hidden="0"/>
  </cellStyles>
  <dxfs count="5">
    <dxf>
      <font>
        <b val="1"/>
        <color rgb="0016A34A"/>
      </font>
      <fill>
        <patternFill patternType="solid">
          <fgColor rgb="00DCFCE7"/>
        </patternFill>
      </fill>
    </dxf>
    <dxf>
      <font>
        <b val="1"/>
        <color rgb="00CA8A04"/>
      </font>
      <fill>
        <patternFill patternType="solid">
          <fgColor rgb="00FEF9C3"/>
        </patternFill>
      </fill>
    </dxf>
    <dxf>
      <font>
        <b val="1"/>
        <color rgb="00DC2626"/>
      </font>
      <fill>
        <patternFill patternType="solid">
          <fgColor rgb="00FEE2E2"/>
        </patternFill>
      </fill>
    </dxf>
    <dxf>
      <font>
        <b val="1"/>
        <color rgb="00DC2626"/>
      </font>
    </dxf>
    <dxf>
      <font>
        <b val="1"/>
        <color rgb="0016A34A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Sonderumlage je Einheit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'Sonderumlage'!J10</f>
            </strRef>
          </tx>
          <spPr>
            <a:solidFill xmlns:a="http://schemas.openxmlformats.org/drawingml/2006/main">
              <a:srgbClr val="1E293B"/>
            </a:solidFill>
            <a:ln xmlns:a="http://schemas.openxmlformats.org/drawingml/2006/main">
              <a:prstDash val="solid"/>
            </a:ln>
          </spPr>
          <cat>
            <numRef>
              <f>'Sonderumlage'!$A$11:$A$19</f>
            </numRef>
          </cat>
          <val>
            <numRef>
              <f>'Sonderumlage'!$J$11:$J$19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Betrag in €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Zahlungsstatus</a:t>
            </a:r>
          </a:p>
        </rich>
      </tx>
    </title>
    <plotArea>
      <doughnutChart>
        <varyColors val="1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'Übersicht'!$D$4:$D$6</f>
            </numRef>
          </cat>
          <val>
            <numRef>
              <f>'Übersicht'!$E$4:$E$6</f>
            </numRef>
          </val>
        </ser>
        <firstSliceAng val="0"/>
        <holeSize val="10"/>
      </doughnut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Anteil der Maßnahmefinanzierung</a:t>
            </a:r>
          </a:p>
        </rich>
      </tx>
    </title>
    <plotArea>
      <barChart>
        <barDir val="bar"/>
        <grouping val="clustered"/>
        <ser>
          <idx val="0"/>
          <order val="0"/>
          <spPr>
            <a:solidFill xmlns:a="http://schemas.openxmlformats.org/drawingml/2006/main">
              <a:srgbClr val="14B8A6"/>
            </a:solidFill>
            <a:ln xmlns:a="http://schemas.openxmlformats.org/drawingml/2006/main">
              <a:prstDash val="solid"/>
            </a:ln>
          </spPr>
          <cat>
            <numRef>
              <f>'Übersicht'!$G$4:$G$5</f>
            </numRef>
          </cat>
          <val>
            <numRef>
              <f>'Übersicht'!$H$4:$H$5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16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8</col>
      <colOff>0</colOff>
      <row>16</row>
      <rowOff>0</rowOff>
    </from>
    <ext cx="360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33</row>
      <rowOff>0</rowOff>
    </from>
    <ext cx="576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Y28"/>
  <sheetViews>
    <sheetView workbookViewId="0">
      <selection activeCell="A1" sqref="A1"/>
    </sheetView>
  </sheetViews>
  <sheetFormatPr baseColWidth="8" defaultRowHeight="15"/>
  <cols>
    <col width="9" customWidth="1" min="1" max="1"/>
    <col width="22" customWidth="1" min="2" max="2"/>
    <col width="24" customWidth="1" min="3" max="3"/>
    <col width="18" customWidth="1" min="4" max="4"/>
    <col width="14" customWidth="1" min="5" max="5"/>
    <col width="18" customWidth="1" min="6" max="6"/>
    <col width="14" customWidth="1" min="7" max="7"/>
    <col width="16" customWidth="1" min="8" max="8"/>
    <col width="20" customWidth="1" min="9" max="9"/>
    <col width="18" customWidth="1" min="10" max="10"/>
    <col width="11" customWidth="1" min="11" max="11"/>
    <col width="14" customWidth="1" min="12" max="12"/>
    <col width="12" customWidth="1" min="13" max="13"/>
    <col width="16" customWidth="1" min="14" max="14"/>
    <col width="14" customWidth="1" min="15" max="15"/>
    <col width="14" customWidth="1" min="16" max="16"/>
    <col width="26" customWidth="1" min="17" max="17"/>
    <col width="26" customWidth="1" min="22" max="22"/>
    <col width="14" customWidth="1" min="23" max="23"/>
    <col width="18" customWidth="1" min="24" max="24"/>
    <col width="16" customWidth="1" min="25" max="25"/>
  </cols>
  <sheetData>
    <row r="1">
      <c r="A1" s="1" t="inlineStr">
        <is>
          <t>Sonderumlage WEG – Berechnung und Zahlungsüberwachung</t>
        </is>
      </c>
    </row>
    <row r="2"/>
    <row r="3">
      <c r="A3" s="2" t="inlineStr">
        <is>
          <t>Kopfbereich / Rahmendaten</t>
        </is>
      </c>
      <c r="D3" s="2" t="inlineStr">
        <is>
          <t>Maßnahme auswählen</t>
        </is>
      </c>
      <c r="V3" s="2" t="inlineStr">
        <is>
          <t>Maßnahmenstammdaten</t>
        </is>
      </c>
    </row>
    <row r="4">
      <c r="A4" s="3" t="inlineStr">
        <is>
          <t>WEG-Objekt</t>
        </is>
      </c>
      <c r="B4" s="4" t="inlineStr">
        <is>
          <t>Wohnanlage Lindenpark</t>
        </is>
      </c>
      <c r="D4" s="3" t="inlineStr">
        <is>
          <t>Maßnahme (Auswahl)</t>
        </is>
      </c>
      <c r="E4" s="5" t="inlineStr">
        <is>
          <t>Dachsanierung</t>
        </is>
      </c>
      <c r="V4" s="6" t="inlineStr">
        <is>
          <t>Maßnahme</t>
        </is>
      </c>
      <c r="W4" s="6" t="inlineStr">
        <is>
          <t>Kategorie</t>
        </is>
      </c>
      <c r="X4" s="6" t="inlineStr">
        <is>
          <t>Geplante Kosten</t>
        </is>
      </c>
      <c r="Y4" s="6" t="inlineStr">
        <is>
          <t>Beschlussdatum</t>
        </is>
      </c>
    </row>
    <row r="5">
      <c r="A5" s="3" t="inlineStr">
        <is>
          <t>Objektadresse</t>
        </is>
      </c>
      <c r="B5" s="4">
        <f>E4</f>
        <v/>
      </c>
      <c r="V5" s="7" t="inlineStr">
        <is>
          <t>Dachsanierung</t>
        </is>
      </c>
      <c r="W5" s="7" t="inlineStr">
        <is>
          <t>Dach</t>
        </is>
      </c>
      <c r="X5" s="42" t="n">
        <v>72000</v>
      </c>
      <c r="Y5" s="9" t="n">
        <v>46096</v>
      </c>
    </row>
    <row r="6">
      <c r="A6" s="3" t="inlineStr">
        <is>
          <t>Beschlussdatum</t>
        </is>
      </c>
      <c r="B6" s="10" t="n">
        <v>46096</v>
      </c>
      <c r="V6" s="7" t="inlineStr">
        <is>
          <t>Fassadenarbeiten</t>
        </is>
      </c>
      <c r="W6" s="7" t="inlineStr">
        <is>
          <t>Fassade</t>
        </is>
      </c>
      <c r="X6" s="42" t="n">
        <v>48500</v>
      </c>
      <c r="Y6" s="9" t="n">
        <v>46162</v>
      </c>
    </row>
    <row r="7">
      <c r="A7" s="3" t="inlineStr">
        <is>
          <t>Zahlungsziel</t>
        </is>
      </c>
      <c r="B7" s="10" t="n">
        <v>46203</v>
      </c>
      <c r="V7" s="7" t="inlineStr">
        <is>
          <t>Aufzugreparatur</t>
        </is>
      </c>
      <c r="W7" s="7" t="inlineStr">
        <is>
          <t>Technik</t>
        </is>
      </c>
      <c r="X7" s="42" t="n">
        <v>12750</v>
      </c>
      <c r="Y7" s="9" t="n">
        <v>46063</v>
      </c>
    </row>
    <row r="8">
      <c r="A8" s="3" t="inlineStr">
        <is>
          <t>Gesamtbetrag der Maßnahme</t>
        </is>
      </c>
      <c r="B8" s="43">
        <f>IFERROR(VLOOKUP($B$5,$V$5:$Y$9,3,FALSE),0)</f>
        <v/>
      </c>
      <c r="V8" s="7" t="inlineStr">
        <is>
          <t>Heizungsmodernisierung</t>
        </is>
      </c>
      <c r="W8" s="7" t="inlineStr">
        <is>
          <t>Heizung</t>
        </is>
      </c>
      <c r="X8" s="42" t="n">
        <v>38900</v>
      </c>
      <c r="Y8" s="9" t="n">
        <v>46178</v>
      </c>
    </row>
    <row r="9">
      <c r="A9" s="2" t="inlineStr">
        <is>
          <t>Verteilung der Sonderumlage auf die Eigentümer</t>
        </is>
      </c>
      <c r="B9" s="44" t="n">
        <v>18000</v>
      </c>
      <c r="V9" s="7" t="inlineStr">
        <is>
          <t>Tiefgaragensanierung</t>
        </is>
      </c>
      <c r="W9" s="7" t="inlineStr">
        <is>
          <t>Tiefgarage</t>
        </is>
      </c>
      <c r="X9" s="42" t="n">
        <v>26400</v>
      </c>
      <c r="Y9" s="9" t="n">
        <v>46215</v>
      </c>
    </row>
    <row r="10" ht="42" customHeight="1">
      <c r="A10" s="13" t="inlineStr">
        <is>
          <t>Einheit</t>
        </is>
      </c>
      <c r="B10" s="45" t="inlineStr">
        <is>
          <t>Eigentümer</t>
        </is>
      </c>
      <c r="C10" s="13" t="inlineStr">
        <is>
          <t>Straße / Einheit</t>
        </is>
      </c>
      <c r="D10" s="13" t="inlineStr">
        <is>
          <t>Ort</t>
        </is>
      </c>
      <c r="E10" s="13" t="inlineStr">
        <is>
          <t>Wohnfläche in m²</t>
        </is>
      </c>
      <c r="F10" s="13" t="inlineStr">
        <is>
          <t>Miteigentumsanteile (MEA)</t>
        </is>
      </c>
      <c r="G10" s="13" t="inlineStr">
        <is>
          <t>MEA-Anteil in %</t>
        </is>
      </c>
      <c r="H10" s="13" t="inlineStr">
        <is>
          <t>Umlage vor Rücklage</t>
        </is>
      </c>
      <c r="I10" s="13" t="inlineStr">
        <is>
          <t>Anteil Erhaltungsrücklage</t>
        </is>
      </c>
      <c r="J10" s="13" t="inlineStr">
        <is>
          <t>Sonderumlage gesamt</t>
        </is>
      </c>
      <c r="K10" s="13" t="inlineStr">
        <is>
          <t>Anzahl Raten</t>
        </is>
      </c>
      <c r="L10" s="13" t="inlineStr">
        <is>
          <t>Rate je Zahlung</t>
        </is>
      </c>
      <c r="M10" s="13" t="inlineStr">
        <is>
          <t>Fälligkeit</t>
        </is>
      </c>
      <c r="N10" s="13" t="inlineStr">
        <is>
          <t>Zahlungseingang</t>
        </is>
      </c>
      <c r="O10" s="13" t="inlineStr">
        <is>
          <t>Zahlungsstatus</t>
        </is>
      </c>
      <c r="P10" s="13" t="inlineStr">
        <is>
          <t>Offener Betrag</t>
        </is>
      </c>
      <c r="Q10" s="13" t="inlineStr">
        <is>
          <t>Bemerkung</t>
        </is>
      </c>
    </row>
    <row r="11">
      <c r="A11" s="15" t="inlineStr">
        <is>
          <t>WE 01</t>
        </is>
      </c>
      <c r="B11" s="16" t="inlineStr">
        <is>
          <t>Thomas Becker</t>
        </is>
      </c>
      <c r="C11" s="17" t="inlineStr">
        <is>
          <t>Lindenallee 7, WE 01</t>
        </is>
      </c>
      <c r="D11" s="17" t="inlineStr">
        <is>
          <t>Berlin</t>
        </is>
      </c>
      <c r="E11" s="46" t="n">
        <v>78.5</v>
      </c>
      <c r="F11" s="5" t="n">
        <v>785</v>
      </c>
      <c r="G11" s="19">
        <f>IFERROR(F11/$F$20,0)</f>
        <v/>
      </c>
      <c r="H11" s="47">
        <f>IFERROR(G11*$B$6,0)</f>
        <v/>
      </c>
      <c r="I11" s="47">
        <f>IFERROR(G11*$B$7,0)</f>
        <v/>
      </c>
      <c r="J11" s="47">
        <f>MAX(0,H11-I11)</f>
        <v/>
      </c>
      <c r="K11" s="5" t="n">
        <v>2</v>
      </c>
      <c r="L11" s="47">
        <f>IFERROR(J11/K11,0)</f>
        <v/>
      </c>
      <c r="M11" s="21" t="n">
        <v>46142</v>
      </c>
      <c r="N11" s="48" t="n">
        <v>4500</v>
      </c>
      <c r="O11" s="17">
        <f>IF(N11&gt;=J11,"Bezahlt",IF(N11&gt;0,"Teilzahlung","Offen"))</f>
        <v/>
      </c>
      <c r="P11" s="47">
        <f>MAX(0,J11-N11)</f>
        <v/>
      </c>
      <c r="Q11" s="5" t="inlineStr"/>
    </row>
    <row r="12">
      <c r="A12" s="23" t="inlineStr">
        <is>
          <t>WE 02</t>
        </is>
      </c>
      <c r="B12" s="24" t="inlineStr">
        <is>
          <t>Sabine Müller</t>
        </is>
      </c>
      <c r="C12" s="7" t="inlineStr">
        <is>
          <t>Lindenallee 7, WE 02</t>
        </is>
      </c>
      <c r="D12" s="7" t="inlineStr">
        <is>
          <t>München</t>
        </is>
      </c>
      <c r="E12" s="49" t="n">
        <v>65.2</v>
      </c>
      <c r="F12" s="5" t="n">
        <v>652</v>
      </c>
      <c r="G12" s="26">
        <f>IFERROR(F12/$F$20,0)</f>
        <v/>
      </c>
      <c r="H12" s="42">
        <f>IFERROR(G12*$B$6,0)</f>
        <v/>
      </c>
      <c r="I12" s="42">
        <f>IFERROR(G12*$B$7,0)</f>
        <v/>
      </c>
      <c r="J12" s="42">
        <f>MAX(0,H12-I12)</f>
        <v/>
      </c>
      <c r="K12" s="5" t="n">
        <v>1</v>
      </c>
      <c r="L12" s="42">
        <f>IFERROR(J12/K12,0)</f>
        <v/>
      </c>
      <c r="M12" s="21" t="n">
        <v>46203</v>
      </c>
      <c r="N12" s="48" t="n">
        <v>3737.6</v>
      </c>
      <c r="O12" s="7">
        <f>IF(N12&gt;=J12,"Bezahlt",IF(N12&gt;0,"Teilzahlung","Offen"))</f>
        <v/>
      </c>
      <c r="P12" s="42">
        <f>MAX(0,J12-N12)</f>
        <v/>
      </c>
      <c r="Q12" s="5" t="inlineStr"/>
    </row>
    <row r="13">
      <c r="A13" s="17" t="inlineStr">
        <is>
          <t>WE 03</t>
        </is>
      </c>
      <c r="B13" s="17" t="inlineStr">
        <is>
          <t>Andreas Schneider</t>
        </is>
      </c>
      <c r="C13" s="17" t="inlineStr">
        <is>
          <t>Lindenallee 9, WE 03</t>
        </is>
      </c>
      <c r="D13" s="17" t="inlineStr">
        <is>
          <t>Hamburg</t>
        </is>
      </c>
      <c r="E13" s="46" t="n">
        <v>92.40000000000001</v>
      </c>
      <c r="F13" s="5" t="n">
        <v>924</v>
      </c>
      <c r="G13" s="19">
        <f>IFERROR(F13/$F$20,0)</f>
        <v/>
      </c>
      <c r="H13" s="47">
        <f>IFERROR(G13*$B$6,0)</f>
        <v/>
      </c>
      <c r="I13" s="47">
        <f>IFERROR(G13*$B$7,0)</f>
        <v/>
      </c>
      <c r="J13" s="47">
        <f>MAX(0,H13-I13)</f>
        <v/>
      </c>
      <c r="K13" s="5" t="n">
        <v>3</v>
      </c>
      <c r="L13" s="47">
        <f>IFERROR(J13/K13,0)</f>
        <v/>
      </c>
      <c r="M13" s="21" t="n">
        <v>46142</v>
      </c>
      <c r="N13" s="48" t="n">
        <v>5294.4</v>
      </c>
      <c r="O13" s="17">
        <f>IF(N13&gt;=J13,"Bezahlt",IF(N13&gt;0,"Teilzahlung","Offen"))</f>
        <v/>
      </c>
      <c r="P13" s="47">
        <f>MAX(0,J13-N13)</f>
        <v/>
      </c>
      <c r="Q13" s="5" t="inlineStr">
        <is>
          <t>Erste Rate erhalten</t>
        </is>
      </c>
    </row>
    <row r="14">
      <c r="A14" s="7" t="inlineStr">
        <is>
          <t>WE 04</t>
        </is>
      </c>
      <c r="B14" s="7" t="inlineStr">
        <is>
          <t>Petra Wagner</t>
        </is>
      </c>
      <c r="C14" s="7" t="inlineStr">
        <is>
          <t>Lindenallee 9, WE 04</t>
        </is>
      </c>
      <c r="D14" s="7" t="inlineStr">
        <is>
          <t>Köln</t>
        </is>
      </c>
      <c r="E14" s="49" t="n">
        <v>71.8</v>
      </c>
      <c r="F14" s="5" t="n">
        <v>718</v>
      </c>
      <c r="G14" s="26">
        <f>IFERROR(F14/$F$20,0)</f>
        <v/>
      </c>
      <c r="H14" s="42">
        <f>IFERROR(G14*$B$6,0)</f>
        <v/>
      </c>
      <c r="I14" s="42">
        <f>IFERROR(G14*$B$7,0)</f>
        <v/>
      </c>
      <c r="J14" s="42">
        <f>MAX(0,H14-I14)</f>
        <v/>
      </c>
      <c r="K14" s="5" t="n">
        <v>2</v>
      </c>
      <c r="L14" s="42">
        <f>IFERROR(J14/K14,0)</f>
        <v/>
      </c>
      <c r="M14" s="21" t="n">
        <v>46173</v>
      </c>
      <c r="N14" s="48" t="n">
        <v>4113.6</v>
      </c>
      <c r="O14" s="7">
        <f>IF(N14&gt;=J14,"Bezahlt",IF(N14&gt;0,"Teilzahlung","Offen"))</f>
        <v/>
      </c>
      <c r="P14" s="42">
        <f>MAX(0,J14-N14)</f>
        <v/>
      </c>
      <c r="Q14" s="5" t="inlineStr"/>
    </row>
    <row r="15">
      <c r="A15" s="17" t="inlineStr">
        <is>
          <t>WE 05</t>
        </is>
      </c>
      <c r="B15" s="17" t="inlineStr">
        <is>
          <t>Michael Hoffmann</t>
        </is>
      </c>
      <c r="C15" s="17" t="inlineStr">
        <is>
          <t>Lindenallee 11, WE 05</t>
        </is>
      </c>
      <c r="D15" s="17" t="inlineStr">
        <is>
          <t>Frankfurt am Main</t>
        </is>
      </c>
      <c r="E15" s="46" t="n">
        <v>84</v>
      </c>
      <c r="F15" s="5" t="n">
        <v>840</v>
      </c>
      <c r="G15" s="19">
        <f>IFERROR(F15/$F$20,0)</f>
        <v/>
      </c>
      <c r="H15" s="47">
        <f>IFERROR(G15*$B$6,0)</f>
        <v/>
      </c>
      <c r="I15" s="47">
        <f>IFERROR(G15*$B$7,0)</f>
        <v/>
      </c>
      <c r="J15" s="47">
        <f>MAX(0,H15-I15)</f>
        <v/>
      </c>
      <c r="K15" s="5" t="n">
        <v>2</v>
      </c>
      <c r="L15" s="47">
        <f>IFERROR(J15/K15,0)</f>
        <v/>
      </c>
      <c r="M15" s="21" t="n">
        <v>46173</v>
      </c>
      <c r="N15" s="48" t="n">
        <v>4812</v>
      </c>
      <c r="O15" s="17">
        <f>IF(N15&gt;=J15,"Bezahlt",IF(N15&gt;0,"Teilzahlung","Offen"))</f>
        <v/>
      </c>
      <c r="P15" s="47">
        <f>MAX(0,J15-N15)</f>
        <v/>
      </c>
      <c r="Q15" s="5" t="inlineStr"/>
    </row>
    <row r="16">
      <c r="A16" s="7" t="inlineStr">
        <is>
          <t>WE 06</t>
        </is>
      </c>
      <c r="B16" s="7" t="inlineStr">
        <is>
          <t>Julia Richter</t>
        </is>
      </c>
      <c r="C16" s="7" t="inlineStr">
        <is>
          <t>Lindenallee 11, WE 06</t>
        </is>
      </c>
      <c r="D16" s="7" t="inlineStr">
        <is>
          <t>Stuttgart</t>
        </is>
      </c>
      <c r="E16" s="49" t="n">
        <v>59.6</v>
      </c>
      <c r="F16" s="5" t="n">
        <v>596</v>
      </c>
      <c r="G16" s="26">
        <f>IFERROR(F16/$F$20,0)</f>
        <v/>
      </c>
      <c r="H16" s="42">
        <f>IFERROR(G16*$B$6,0)</f>
        <v/>
      </c>
      <c r="I16" s="42">
        <f>IFERROR(G16*$B$7,0)</f>
        <v/>
      </c>
      <c r="J16" s="42">
        <f>MAX(0,H16-I16)</f>
        <v/>
      </c>
      <c r="K16" s="5" t="n">
        <v>1</v>
      </c>
      <c r="L16" s="42">
        <f>IFERROR(J16/K16,0)</f>
        <v/>
      </c>
      <c r="M16" s="21" t="n">
        <v>46203</v>
      </c>
      <c r="N16" s="48" t="n">
        <v>3414.4</v>
      </c>
      <c r="O16" s="7">
        <f>IF(N16&gt;=J16,"Bezahlt",IF(N16&gt;0,"Teilzahlung","Offen"))</f>
        <v/>
      </c>
      <c r="P16" s="42">
        <f>MAX(0,J16-N16)</f>
        <v/>
      </c>
      <c r="Q16" s="5" t="inlineStr"/>
    </row>
    <row r="17">
      <c r="A17" s="17" t="inlineStr">
        <is>
          <t>WE 07</t>
        </is>
      </c>
      <c r="B17" s="17" t="inlineStr">
        <is>
          <t>Stefan Weber</t>
        </is>
      </c>
      <c r="C17" s="17" t="inlineStr">
        <is>
          <t>Lindenallee 13, WE 07</t>
        </is>
      </c>
      <c r="D17" s="17" t="inlineStr">
        <is>
          <t>Düsseldorf</t>
        </is>
      </c>
      <c r="E17" s="46" t="n">
        <v>88.3</v>
      </c>
      <c r="F17" s="5" t="n">
        <v>883</v>
      </c>
      <c r="G17" s="19">
        <f>IFERROR(F17/$F$20,0)</f>
        <v/>
      </c>
      <c r="H17" s="47">
        <f>IFERROR(G17*$B$6,0)</f>
        <v/>
      </c>
      <c r="I17" s="47">
        <f>IFERROR(G17*$B$7,0)</f>
        <v/>
      </c>
      <c r="J17" s="47">
        <f>MAX(0,H17-I17)</f>
        <v/>
      </c>
      <c r="K17" s="5" t="n">
        <v>3</v>
      </c>
      <c r="L17" s="47">
        <f>IFERROR(J17/K17,0)</f>
        <v/>
      </c>
      <c r="M17" s="21" t="n">
        <v>46142</v>
      </c>
      <c r="N17" s="48" t="n">
        <v>2529.3</v>
      </c>
      <c r="O17" s="17">
        <f>IF(N17&gt;=J17,"Bezahlt",IF(N17&gt;0,"Teilzahlung","Offen"))</f>
        <v/>
      </c>
      <c r="P17" s="47">
        <f>MAX(0,J17-N17)</f>
        <v/>
      </c>
      <c r="Q17" s="5" t="inlineStr">
        <is>
          <t>Restrate offen</t>
        </is>
      </c>
    </row>
    <row r="18">
      <c r="A18" s="7" t="inlineStr">
        <is>
          <t>WE 08</t>
        </is>
      </c>
      <c r="B18" s="7" t="inlineStr">
        <is>
          <t>Claudia Fischer</t>
        </is>
      </c>
      <c r="C18" s="7" t="inlineStr">
        <is>
          <t>Lindenallee 13, WE 08</t>
        </is>
      </c>
      <c r="D18" s="7" t="inlineStr">
        <is>
          <t>Leipzig</t>
        </is>
      </c>
      <c r="E18" s="49" t="n">
        <v>74.09999999999999</v>
      </c>
      <c r="F18" s="5" t="n">
        <v>741</v>
      </c>
      <c r="G18" s="26">
        <f>IFERROR(F18/$F$20,0)</f>
        <v/>
      </c>
      <c r="H18" s="42">
        <f>IFERROR(G18*$B$6,0)</f>
        <v/>
      </c>
      <c r="I18" s="42">
        <f>IFERROR(G18*$B$7,0)</f>
        <v/>
      </c>
      <c r="J18" s="42">
        <f>MAX(0,H18-I18)</f>
        <v/>
      </c>
      <c r="K18" s="5" t="n">
        <v>2</v>
      </c>
      <c r="L18" s="42">
        <f>IFERROR(J18/K18,0)</f>
        <v/>
      </c>
      <c r="M18" s="21" t="n">
        <v>46173</v>
      </c>
      <c r="N18" s="48" t="n">
        <v>4244.8</v>
      </c>
      <c r="O18" s="7">
        <f>IF(N18&gt;=J18,"Bezahlt",IF(N18&gt;0,"Teilzahlung","Offen"))</f>
        <v/>
      </c>
      <c r="P18" s="42">
        <f>MAX(0,J18-N18)</f>
        <v/>
      </c>
      <c r="Q18" s="5" t="inlineStr"/>
    </row>
    <row r="19">
      <c r="A19" s="17" t="inlineStr">
        <is>
          <t>WE 09</t>
        </is>
      </c>
      <c r="B19" s="17" t="inlineStr">
        <is>
          <t>Markus Bauer</t>
        </is>
      </c>
      <c r="C19" s="17" t="inlineStr">
        <is>
          <t>Hauptstraße 12, WE 09</t>
        </is>
      </c>
      <c r="D19" s="17" t="inlineStr">
        <is>
          <t>Hannover</t>
        </is>
      </c>
      <c r="E19" s="46" t="n">
        <v>68.90000000000001</v>
      </c>
      <c r="F19" s="5" t="n">
        <v>689</v>
      </c>
      <c r="G19" s="19">
        <f>IFERROR(F19/$F$20,0)</f>
        <v/>
      </c>
      <c r="H19" s="47">
        <f>IFERROR(G19*$B$6,0)</f>
        <v/>
      </c>
      <c r="I19" s="47">
        <f>IFERROR(G19*$B$7,0)</f>
        <v/>
      </c>
      <c r="J19" s="47">
        <f>MAX(0,H19-I19)</f>
        <v/>
      </c>
      <c r="K19" s="5" t="n">
        <v>1</v>
      </c>
      <c r="L19" s="47">
        <f>IFERROR(J19/K19,0)</f>
        <v/>
      </c>
      <c r="M19" s="21" t="n">
        <v>46203</v>
      </c>
      <c r="N19" s="48" t="n">
        <v>0</v>
      </c>
      <c r="O19" s="17">
        <f>IF(N19&gt;=J19,"Bezahlt",IF(N19&gt;0,"Teilzahlung","Offen"))</f>
        <v/>
      </c>
      <c r="P19" s="47">
        <f>MAX(0,J19-N19)</f>
        <v/>
      </c>
      <c r="Q19" s="5" t="inlineStr">
        <is>
          <t>Zahlungserinnerung versandt</t>
        </is>
      </c>
    </row>
    <row r="20">
      <c r="A20" s="27" t="inlineStr">
        <is>
          <t>Gesamt</t>
        </is>
      </c>
      <c r="B20" s="27" t="n"/>
      <c r="C20" s="27" t="n"/>
      <c r="D20" s="27" t="n"/>
      <c r="E20" s="27" t="n"/>
      <c r="F20" s="27">
        <f>SUM(F11:F19)</f>
        <v/>
      </c>
      <c r="G20" s="28">
        <f>SUM(G11:G19)</f>
        <v/>
      </c>
      <c r="H20" s="50">
        <f>SUM(H11:H19)</f>
        <v/>
      </c>
      <c r="I20" s="50">
        <f>SUM(I11:I19)</f>
        <v/>
      </c>
      <c r="J20" s="50">
        <f>SUM(J11:J19)</f>
        <v/>
      </c>
      <c r="K20" s="27" t="n"/>
      <c r="L20" s="27" t="n"/>
      <c r="M20" s="27" t="n"/>
      <c r="N20" s="50">
        <f>SUM(N11:N19)</f>
        <v/>
      </c>
      <c r="O20" s="27" t="n"/>
      <c r="P20" s="50">
        <f>SUM(P11:P19)</f>
        <v/>
      </c>
      <c r="Q20" s="27" t="n"/>
    </row>
    <row r="21"/>
    <row r="22">
      <c r="A22" s="2" t="inlineStr">
        <is>
          <t>Kennzahlen</t>
        </is>
      </c>
    </row>
    <row r="23">
      <c r="A23" s="3" t="inlineStr">
        <is>
          <t>Durchschnittliche Sonderumlage je Einheit</t>
        </is>
      </c>
      <c r="C23" s="42">
        <f>AVERAGE(J11:J19)</f>
        <v/>
      </c>
    </row>
    <row r="24">
      <c r="A24" s="3" t="inlineStr">
        <is>
          <t>Anzahl offener Zahlungen</t>
        </is>
      </c>
      <c r="C24" s="30">
        <f>COUNTIF(O11:O19,"Offen")</f>
        <v/>
      </c>
    </row>
    <row r="25">
      <c r="A25" s="3" t="inlineStr">
        <is>
          <t>Anzahl Teilzahlungen</t>
        </is>
      </c>
      <c r="C25" s="30">
        <f>COUNTIF(O11:O19,"Teilzahlung")</f>
        <v/>
      </c>
    </row>
    <row r="26">
      <c r="A26" s="3" t="inlineStr">
        <is>
          <t>Anzahl bezahlter Einheiten</t>
        </is>
      </c>
      <c r="C26" s="30">
        <f>COUNTIF(O11:O19,"Bezahlt")</f>
        <v/>
      </c>
    </row>
    <row r="27">
      <c r="A27" s="3" t="inlineStr">
        <is>
          <t>Höchste Sonderumlage</t>
        </is>
      </c>
      <c r="C27" s="42">
        <f>MAX(J11:J19)</f>
        <v/>
      </c>
    </row>
    <row r="28">
      <c r="A28" s="3" t="inlineStr">
        <is>
          <t>Niedrigste Sonderumlage</t>
        </is>
      </c>
      <c r="C28" s="42">
        <f>MIN(J11:J19)</f>
        <v/>
      </c>
    </row>
  </sheetData>
  <mergeCells count="1">
    <mergeCell ref="A1:Q1"/>
  </mergeCells>
  <conditionalFormatting sqref="O11:O19">
    <cfRule type="expression" priority="1" dxfId="0" stopIfTrue="1">
      <formula>O11="Bezahlt"</formula>
    </cfRule>
    <cfRule type="expression" priority="2" dxfId="1" stopIfTrue="1">
      <formula>O11="Teilzahlung"</formula>
    </cfRule>
    <cfRule type="expression" priority="3" dxfId="2" stopIfTrue="1">
      <formula>O11="Offen"</formula>
    </cfRule>
  </conditionalFormatting>
  <conditionalFormatting sqref="P11:P19">
    <cfRule type="expression" priority="4" dxfId="3" stopIfTrue="1">
      <formula>P11&gt;0</formula>
    </cfRule>
  </conditionalFormatting>
  <conditionalFormatting sqref="N11:N19">
    <cfRule type="expression" priority="5" dxfId="4" stopIfTrue="1">
      <formula>N11&gt;0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/>
  <cols>
    <col width="36" customWidth="1" min="1" max="1"/>
    <col width="18" customWidth="1" min="2" max="2"/>
    <col width="18" customWidth="1" min="4" max="4"/>
    <col width="12" customWidth="1" min="5" max="5"/>
    <col width="26" customWidth="1" min="7" max="7"/>
    <col width="18" customWidth="1" min="8" max="8"/>
  </cols>
  <sheetData>
    <row r="1">
      <c r="A1" s="31" t="inlineStr">
        <is>
          <t>Übersicht – Kennzahlen zur Sonderumlage</t>
        </is>
      </c>
    </row>
    <row r="2"/>
    <row r="3">
      <c r="A3" s="2" t="inlineStr">
        <is>
          <t>Kennzahlen</t>
        </is>
      </c>
      <c r="D3" s="2" t="inlineStr">
        <is>
          <t>Zahlungsstatus (Anzahl)</t>
        </is>
      </c>
      <c r="G3" s="2" t="inlineStr">
        <is>
          <t>Finanzierungsanteile</t>
        </is>
      </c>
    </row>
    <row r="4">
      <c r="A4" s="32" t="inlineStr">
        <is>
          <t>Kennzahl</t>
        </is>
      </c>
      <c r="B4" s="32" t="inlineStr">
        <is>
          <t>Wert</t>
        </is>
      </c>
      <c r="D4" s="7" t="inlineStr">
        <is>
          <t>Bezahlt</t>
        </is>
      </c>
      <c r="E4" s="7">
        <f>COUNTIF(Sonderumlage!O11:O19,"Bezahlt")</f>
        <v/>
      </c>
      <c r="G4" s="7" t="inlineStr">
        <is>
          <t>Erhaltungsrücklage</t>
        </is>
      </c>
      <c r="H4" s="42">
        <f>Sonderumlage!B7</f>
        <v/>
      </c>
    </row>
    <row r="5">
      <c r="A5" s="7" t="inlineStr">
        <is>
          <t>Geplante Maßnahmenkosten</t>
        </is>
      </c>
      <c r="B5" s="51">
        <f>Sonderumlage!B6</f>
        <v/>
      </c>
      <c r="D5" s="7" t="inlineStr">
        <is>
          <t>Teilzahlung</t>
        </is>
      </c>
      <c r="E5" s="7">
        <f>COUNTIF(Sonderumlage!O11:O19,"Teilzahlung")</f>
        <v/>
      </c>
      <c r="G5" s="7" t="inlineStr">
        <is>
          <t>Sonderumlage der Eigentümer</t>
        </is>
      </c>
      <c r="H5" s="42">
        <f>Sonderumlage!B8</f>
        <v/>
      </c>
    </row>
    <row r="6">
      <c r="A6" s="7" t="inlineStr">
        <is>
          <t>Entnahme Erhaltungsrücklage</t>
        </is>
      </c>
      <c r="B6" s="52">
        <f>Sonderumlage!B7</f>
        <v/>
      </c>
      <c r="D6" s="7" t="inlineStr">
        <is>
          <t>Offen</t>
        </is>
      </c>
      <c r="E6" s="7">
        <f>COUNTIF(Sonderumlage!O11:O19,"Offen")</f>
        <v/>
      </c>
    </row>
    <row r="7">
      <c r="A7" s="7" t="inlineStr">
        <is>
          <t>Zu finanzierende Sonderumlage</t>
        </is>
      </c>
      <c r="B7" s="51">
        <f>Sonderumlage!B8</f>
        <v/>
      </c>
    </row>
    <row r="8">
      <c r="A8" s="7" t="inlineStr">
        <is>
          <t>Summe beschlossener Umlagen</t>
        </is>
      </c>
      <c r="B8" s="52">
        <f>SUM(Sonderumlage!J11:J19)</f>
        <v/>
      </c>
    </row>
    <row r="9">
      <c r="A9" s="7" t="inlineStr">
        <is>
          <t>Summe Zahlungseingänge</t>
        </is>
      </c>
      <c r="B9" s="51">
        <f>SUM(Sonderumlage!N11:N19)</f>
        <v/>
      </c>
    </row>
    <row r="10">
      <c r="A10" s="7" t="inlineStr">
        <is>
          <t>Offene Forderungen</t>
        </is>
      </c>
      <c r="B10" s="52">
        <f>SUM(Sonderumlage!P11:P19)</f>
        <v/>
      </c>
    </row>
    <row r="11">
      <c r="A11" s="7" t="inlineStr">
        <is>
          <t>Zahlungsquote in %</t>
        </is>
      </c>
      <c r="B11" s="35">
        <f>IFERROR(SUM(Sonderumlage!N11:N19)/SUM(Sonderumlage!J11:J19),0)</f>
        <v/>
      </c>
    </row>
    <row r="12">
      <c r="A12" s="7" t="inlineStr">
        <is>
          <t>Anzahl Einheiten</t>
        </is>
      </c>
      <c r="B12" s="36">
        <f>COUNT(Sonderumlage!F11:F19)</f>
        <v/>
      </c>
    </row>
    <row r="13">
      <c r="A13" s="7" t="inlineStr">
        <is>
          <t>Vollständig bezahlte Einheiten</t>
        </is>
      </c>
      <c r="B13" s="37">
        <f>COUNTIF(Sonderumlage!O11:O19,"Bezahlt")</f>
        <v/>
      </c>
    </row>
    <row r="14">
      <c r="A14" s="7" t="inlineStr">
        <is>
          <t>Durchschnittlicher Zahlbetrag</t>
        </is>
      </c>
      <c r="B14" s="52">
        <f>IFERROR(AVERAGE(Sonderumlage!N11:N19),0)</f>
        <v/>
      </c>
    </row>
  </sheetData>
  <mergeCells count="1">
    <mergeCell ref="A1:H1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110" customWidth="1" min="2" max="2"/>
  </cols>
  <sheetData>
    <row r="1">
      <c r="A1" s="31" t="inlineStr">
        <is>
          <t>Anleitung – Sonderumlage WEG</t>
        </is>
      </c>
    </row>
    <row r="2"/>
    <row r="3" ht="30" customHeight="1">
      <c r="A3" s="38" t="inlineStr">
        <is>
          <t>1.</t>
        </is>
      </c>
      <c r="B3" s="39" t="inlineStr">
        <is>
          <t>Gelbe Zellen (hellgelb hinterlegt) sind manuell zu befüllen; alle übrigen Werte werden automatisch berechnet.</t>
        </is>
      </c>
    </row>
    <row r="4" ht="30" customHeight="1">
      <c r="A4" s="38" t="inlineStr">
        <is>
          <t>2.</t>
        </is>
      </c>
      <c r="B4" s="40" t="inlineStr">
        <is>
          <t>Tragen Sie den Gesamtbetrag der Maßnahme (über die Maßnahmenauswahl in Zelle E4) und die Entnahme aus der Erhaltungsrücklage im Kopfbereich des Blattes „Sonderumlage“ ein.</t>
        </is>
      </c>
    </row>
    <row r="5" ht="30" customHeight="1">
      <c r="A5" s="38" t="inlineStr">
        <is>
          <t>3.</t>
        </is>
      </c>
      <c r="B5" s="39" t="inlineStr">
        <is>
          <t>Erfassen Sie die Eigentümerdaten, die Miteigentumsanteile (MEA) sowie die Zahlungsdaten (Raten, Fälligkeit, Zahlungseingang) in der Haupttabelle.</t>
        </is>
      </c>
    </row>
    <row r="6" ht="30" customHeight="1">
      <c r="A6" s="38" t="inlineStr">
        <is>
          <t>4.</t>
        </is>
      </c>
      <c r="B6" s="40" t="inlineStr">
        <is>
          <t>Die Verteilung erfolgt beispielhaft nach Miteigentumsanteilen gemäß Teilungserklärung und WEG-Beschluss.</t>
        </is>
      </c>
    </row>
    <row r="7" ht="30" customHeight="1">
      <c r="A7" s="38" t="inlineStr">
        <is>
          <t>5.</t>
        </is>
      </c>
      <c r="B7" s="39" t="inlineStr">
        <is>
          <t>Der konkrete Verteilerschlüssel ist rechtlich zu prüfen; möglich sind auch Verteilung nach Wohnfläche, nach Einheiten oder nach Verbrauch.</t>
        </is>
      </c>
    </row>
    <row r="8" ht="30" customHeight="1">
      <c r="A8" s="38" t="inlineStr">
        <is>
          <t>6.</t>
        </is>
      </c>
      <c r="B8" s="40" t="inlineStr">
        <is>
          <t>Eine Sonderumlage ersetzt keinen ordnungsgemäßen Beschluss der Eigentümerversammlung; beschließen Sie Maßnahme und Umlage formgerecht.</t>
        </is>
      </c>
    </row>
    <row r="9" ht="30" customHeight="1">
      <c r="A9" s="38" t="inlineStr">
        <is>
          <t>7.</t>
        </is>
      </c>
      <c r="B9" s="39" t="inlineStr">
        <is>
          <t>Offene Forderungen und Zahlungsfristen sind separat zu überwachen; nutzen Sie die bedingte Formatierung und das Blatt „Übersicht“.</t>
        </is>
      </c>
    </row>
    <row r="10" ht="30" customHeight="1">
      <c r="A10" s="38" t="inlineStr">
        <is>
          <t>8.</t>
        </is>
      </c>
      <c r="B10" s="40" t="inlineStr">
        <is>
          <t>Diese Vorlage stellt keine Rechts- oder Steuerberatung dar. Wenden Sie sich bei Fragen an Ihre Hausverwaltung oder einen Fachanwalt.</t>
        </is>
      </c>
    </row>
    <row r="11"/>
    <row r="12"/>
    <row r="13">
      <c r="B13" s="41" t="inlineStr">
        <is>
          <t>Hinweis: Die Beispieldaten beziehen sich auf eine Dachsanierung (72.000,00 €) mit Rücklagenentnahme von 18.000,00 € und Beschlussdatum 15.03.2026.</t>
        </is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2026-08-01T18:14:59Z</dcterms:created>
  <dcterms:modified xmlns:dcterms="http://purl.org/dc/terms/" xmlns:xsi="http://www.w3.org/2001/XMLSchema-instance" xsi:type="dcterms:W3CDTF">2026-08-01T18:14:59Z</dcterms:modified>
</cp:coreProperties>
</file>