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üllgebühren" sheetId="1" state="visible" r:id="rId1"/>
    <sheet xmlns:r="http://schemas.openxmlformats.org/officeDocument/2006/relationships" name="Verteilung" sheetId="2" state="visible" r:id="rId2"/>
    <sheet xmlns:r="http://schemas.openxmlformats.org/officeDocument/2006/relationships" name="Dashboard" sheetId="3" state="visible" r:id="rId3"/>
    <sheet xmlns:r="http://schemas.openxmlformats.org/officeDocument/2006/relationships" name="Hinweise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DD.MM.YYYY"/>
    <numFmt numFmtId="165" formatCode="#,##0.00\ &quot;€&quot;"/>
    <numFmt numFmtId="166" formatCode="0.0%"/>
  </numFmts>
  <fonts count="6">
    <font>
      <name val="Calibri"/>
      <family val="2"/>
      <color theme="1"/>
      <sz val="11"/>
      <scheme val="minor"/>
    </font>
    <font>
      <name val="Calibri"/>
      <b val="1"/>
      <color rgb="00FFFFFF"/>
      <sz val="13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0"/>
    </font>
    <font>
      <name val="Calibri"/>
      <b val="1"/>
      <color rgb="00FFFFFF"/>
      <sz val="10"/>
    </font>
  </fonts>
  <fills count="9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1E293B"/>
      </patternFill>
    </fill>
    <fill>
      <patternFill patternType="solid">
        <fgColor rgb="00FFFBEB"/>
      </patternFill>
    </fill>
    <fill>
      <patternFill patternType="solid">
        <fgColor rgb="00FFFFFF"/>
      </patternFill>
    </fill>
    <fill>
      <patternFill patternType="solid">
        <fgColor rgb="00F0FDFA"/>
      </patternFill>
    </fill>
    <fill>
      <patternFill patternType="solid">
        <fgColor rgb="00DCFCE7"/>
      </patternFill>
    </fill>
    <fill>
      <patternFill patternType="solid">
        <fgColor rgb="00C8102E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45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left" vertical="center"/>
    </xf>
    <xf numFmtId="0" fontId="3" fillId="4" borderId="1" applyAlignment="1" pivotButton="0" quotePrefix="0" xfId="0">
      <alignment horizontal="right" vertical="center"/>
    </xf>
    <xf numFmtId="0" fontId="3" fillId="4" borderId="1" applyAlignment="1" pivotButton="0" quotePrefix="0" xfId="0">
      <alignment horizontal="center" vertical="center" wrapText="1"/>
    </xf>
    <xf numFmtId="164" fontId="3" fillId="4" borderId="1" applyAlignment="1" pivotButton="0" quotePrefix="0" xfId="0">
      <alignment horizontal="center" vertical="center" wrapText="1"/>
    </xf>
    <xf numFmtId="165" fontId="3" fillId="4" borderId="1" applyAlignment="1" pivotButton="0" quotePrefix="0" xfId="0">
      <alignment horizontal="right" vertical="center"/>
    </xf>
    <xf numFmtId="165" fontId="3" fillId="5" borderId="1" applyAlignment="1" pivotButton="0" quotePrefix="0" xfId="0">
      <alignment horizontal="right" vertical="center"/>
    </xf>
    <xf numFmtId="0" fontId="3" fillId="4" borderId="1" applyAlignment="1" pivotButton="0" quotePrefix="0" xfId="0">
      <alignment horizontal="left" vertical="center"/>
    </xf>
    <xf numFmtId="166" fontId="3" fillId="5" borderId="1" applyAlignment="1" pivotButton="0" quotePrefix="0" xfId="0">
      <alignment horizontal="right" vertical="center"/>
    </xf>
    <xf numFmtId="0" fontId="3" fillId="6" borderId="1" applyAlignment="1" pivotButton="0" quotePrefix="0" xfId="0">
      <alignment horizontal="center" vertical="center" wrapText="1"/>
    </xf>
    <xf numFmtId="0" fontId="3" fillId="6" borderId="1" applyAlignment="1" pivotButton="0" quotePrefix="0" xfId="0">
      <alignment horizontal="left" vertical="center"/>
    </xf>
    <xf numFmtId="165" fontId="3" fillId="6" borderId="1" applyAlignment="1" pivotButton="0" quotePrefix="0" xfId="0">
      <alignment horizontal="right" vertical="center"/>
    </xf>
    <xf numFmtId="166" fontId="3" fillId="6" borderId="1" applyAlignment="1" pivotButton="0" quotePrefix="0" xfId="0">
      <alignment horizontal="right" vertical="center"/>
    </xf>
    <xf numFmtId="165" fontId="5" fillId="3" borderId="1" applyAlignment="1" pivotButton="0" quotePrefix="0" xfId="0">
      <alignment horizontal="right" vertical="center"/>
    </xf>
    <xf numFmtId="166" fontId="5" fillId="3" borderId="1" applyAlignment="1" pivotButton="0" quotePrefix="0" xfId="0">
      <alignment horizontal="right" vertical="center"/>
    </xf>
    <xf numFmtId="0" fontId="3" fillId="5" borderId="1" applyAlignment="1" pivotButton="0" quotePrefix="0" xfId="0">
      <alignment horizontal="right" vertical="center"/>
    </xf>
    <xf numFmtId="0" fontId="3" fillId="6" borderId="1" applyAlignment="1" pivotButton="0" quotePrefix="0" xfId="0">
      <alignment horizontal="right" vertical="center"/>
    </xf>
    <xf numFmtId="0" fontId="4" fillId="6" borderId="1" applyAlignment="1" pivotButton="0" quotePrefix="0" xfId="0">
      <alignment horizontal="left" vertical="center"/>
    </xf>
    <xf numFmtId="165" fontId="4" fillId="7" borderId="1" applyAlignment="1" pivotButton="0" quotePrefix="0" xfId="0">
      <alignment horizontal="right" vertical="center"/>
    </xf>
    <xf numFmtId="0" fontId="4" fillId="5" borderId="1" applyAlignment="1" pivotButton="0" quotePrefix="0" xfId="0">
      <alignment horizontal="left" vertical="center"/>
    </xf>
    <xf numFmtId="166" fontId="4" fillId="7" borderId="1" applyAlignment="1" pivotButton="0" quotePrefix="0" xfId="0">
      <alignment horizontal="right" vertical="center"/>
    </xf>
    <xf numFmtId="1" fontId="4" fillId="7" borderId="1" applyAlignment="1" pivotButton="0" quotePrefix="0" xfId="0">
      <alignment horizontal="right" vertical="center"/>
    </xf>
    <xf numFmtId="0" fontId="5" fillId="8" borderId="1" applyAlignment="1" pivotButton="0" quotePrefix="0" xfId="0">
      <alignment horizontal="center" vertical="center" wrapText="1"/>
    </xf>
    <xf numFmtId="0" fontId="2" fillId="3" borderId="1" pivotButton="0" quotePrefix="0" xfId="0"/>
    <xf numFmtId="0" fontId="0" fillId="0" borderId="1" pivotButton="0" quotePrefix="0" xfId="0"/>
    <xf numFmtId="165" fontId="0" fillId="0" borderId="1" pivotButton="0" quotePrefix="0" xfId="0"/>
    <xf numFmtId="0" fontId="5" fillId="3" borderId="1" applyAlignment="1" pivotButton="0" quotePrefix="0" xfId="0">
      <alignment horizontal="left" vertical="center"/>
    </xf>
    <xf numFmtId="0" fontId="5" fillId="8" borderId="1" applyAlignment="1" pivotButton="0" quotePrefix="0" xfId="0">
      <alignment horizontal="left" vertical="center"/>
    </xf>
    <xf numFmtId="0" fontId="5" fillId="2" borderId="1" applyAlignment="1" pivotButton="0" quotePrefix="0" xfId="0">
      <alignment horizontal="left" vertical="center"/>
    </xf>
    <xf numFmtId="0" fontId="0" fillId="0" borderId="4" pivotButton="0" quotePrefix="0" xfId="0"/>
    <xf numFmtId="0" fontId="0" fillId="0" borderId="5" pivotButton="0" quotePrefix="0" xfId="0"/>
    <xf numFmtId="164" fontId="3" fillId="4" borderId="1" applyAlignment="1" pivotButton="0" quotePrefix="0" xfId="0">
      <alignment horizontal="center" vertical="center" wrapText="1"/>
    </xf>
    <xf numFmtId="165" fontId="3" fillId="4" borderId="1" applyAlignment="1" pivotButton="0" quotePrefix="0" xfId="0">
      <alignment horizontal="right" vertical="center"/>
    </xf>
    <xf numFmtId="165" fontId="3" fillId="5" borderId="1" applyAlignment="1" pivotButton="0" quotePrefix="0" xfId="0">
      <alignment horizontal="right" vertical="center"/>
    </xf>
    <xf numFmtId="166" fontId="3" fillId="5" borderId="1" applyAlignment="1" pivotButton="0" quotePrefix="0" xfId="0">
      <alignment horizontal="right" vertical="center"/>
    </xf>
    <xf numFmtId="165" fontId="3" fillId="6" borderId="1" applyAlignment="1" pivotButton="0" quotePrefix="0" xfId="0">
      <alignment horizontal="right" vertical="center"/>
    </xf>
    <xf numFmtId="166" fontId="3" fillId="6" borderId="1" applyAlignment="1" pivotButton="0" quotePrefix="0" xfId="0">
      <alignment horizontal="right" vertical="center"/>
    </xf>
    <xf numFmtId="165" fontId="5" fillId="3" borderId="1" applyAlignment="1" pivotButton="0" quotePrefix="0" xfId="0">
      <alignment horizontal="right" vertical="center"/>
    </xf>
    <xf numFmtId="166" fontId="5" fillId="3" borderId="1" applyAlignment="1" pivotButton="0" quotePrefix="0" xfId="0">
      <alignment horizontal="right" vertical="center"/>
    </xf>
    <xf numFmtId="165" fontId="4" fillId="7" borderId="1" applyAlignment="1" pivotButton="0" quotePrefix="0" xfId="0">
      <alignment horizontal="right" vertical="center"/>
    </xf>
    <xf numFmtId="166" fontId="4" fillId="7" borderId="1" applyAlignment="1" pivotButton="0" quotePrefix="0" xfId="0">
      <alignment horizontal="right" vertical="center"/>
    </xf>
    <xf numFmtId="165" fontId="0" fillId="0" borderId="1" pivotButton="0" quotePrefix="0" xfId="0"/>
  </cellXfs>
  <cellStyles count="1">
    <cellStyle name="Normal" xfId="0" builtinId="0" hidden="0"/>
  </cellStyles>
  <dxfs count="3">
    <dxf>
      <font>
        <b val="1"/>
        <color rgb="00DC2626"/>
      </font>
      <fill>
        <patternFill patternType="solid">
          <fgColor rgb="00FEE2E2"/>
        </patternFill>
      </fill>
    </dxf>
    <dxf>
      <font>
        <b val="1"/>
        <color rgb="0016A34A"/>
      </font>
      <fill>
        <patternFill patternType="solid">
          <fgColor rgb="00DCFCE7"/>
        </patternFill>
      </fill>
    </dxf>
    <dxf>
      <font>
        <b val="1"/>
        <color rgb="00CA8A04"/>
      </font>
      <fill>
        <patternFill patternType="solid">
          <fgColor rgb="00FEF9C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Müllkosten je Objekt 2026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'Dashboard'!B14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'Dashboard'!$A$15:$A$21</f>
            </numRef>
          </cat>
          <val>
            <numRef>
              <f>'Dashboard'!$B$15:$B$21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Objekt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Euro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Aufteilung der Müllarten 2026</a:t>
            </a:r>
          </a:p>
        </rich>
      </tx>
    </title>
    <plotArea>
      <pieChart>
        <varyColors val="1"/>
        <ser>
          <idx val="0"/>
          <order val="0"/>
          <tx>
            <strRef>
              <f>'Dashboard'!B24</f>
            </strRef>
          </tx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0F766E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14B8A6"/>
              </a:solidFill>
              <a:ln xmlns:a="http://schemas.openxmlformats.org/drawingml/2006/main">
                <a:prstDash val="solid"/>
              </a:ln>
            </spPr>
          </dPt>
          <dPt>
            <idx val="2"/>
            <spPr>
              <a:solidFill xmlns:a="http://schemas.openxmlformats.org/drawingml/2006/main">
                <a:srgbClr val="22C55E"/>
              </a:solidFill>
              <a:ln xmlns:a="http://schemas.openxmlformats.org/drawingml/2006/main">
                <a:prstDash val="solid"/>
              </a:ln>
            </spPr>
          </dPt>
          <dPt>
            <idx val="3"/>
            <spPr>
              <a:solidFill xmlns:a="http://schemas.openxmlformats.org/drawingml/2006/main">
                <a:srgbClr val="F59E0B"/>
              </a:solidFill>
              <a:ln xmlns:a="http://schemas.openxmlformats.org/drawingml/2006/main">
                <a:prstDash val="solid"/>
              </a:ln>
            </spPr>
          </dPt>
          <dPt>
            <idx val="4"/>
            <spPr>
              <a:solidFill xmlns:a="http://schemas.openxmlformats.org/drawingml/2006/main">
                <a:srgbClr val="DC2626"/>
              </a:solidFill>
              <a:ln xmlns:a="http://schemas.openxmlformats.org/drawingml/2006/main">
                <a:prstDash val="solid"/>
              </a:ln>
            </spPr>
          </dPt>
          <cat>
            <numRef>
              <f>'Dashboard'!$A$25:$A$29</f>
            </numRef>
          </cat>
          <val>
            <numRef>
              <f>'Dashboard'!$B$25:$B$29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5</col>
      <colOff>0</colOff>
      <row>2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5</col>
      <colOff>0</colOff>
      <row>19</row>
      <rowOff>0</rowOff>
    </from>
    <ext cx="576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T13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0" customWidth="1" min="1" max="1"/>
    <col width="22" customWidth="1" min="2" max="2"/>
    <col width="18" customWidth="1" min="3" max="3"/>
    <col width="20" customWidth="1" min="4" max="4"/>
    <col width="13" customWidth="1" min="5" max="5"/>
    <col width="12" customWidth="1" min="6" max="6"/>
    <col width="22" customWidth="1" min="7" max="7"/>
    <col width="22" customWidth="1" min="8" max="8"/>
    <col width="13" customWidth="1" min="9" max="9"/>
    <col width="13" customWidth="1" min="10" max="10"/>
    <col width="13" customWidth="1" min="11" max="11"/>
    <col width="13" customWidth="1" min="12" max="12"/>
    <col width="18" customWidth="1" min="13" max="13"/>
    <col width="24" customWidth="1" min="14" max="14"/>
    <col width="18" customWidth="1" min="15" max="15"/>
    <col width="14" customWidth="1" min="16" max="16"/>
    <col width="16" customWidth="1" min="17" max="17"/>
    <col width="22" customWidth="1" min="18" max="18"/>
    <col width="25" customWidth="1" min="19" max="19"/>
    <col width="14" customWidth="1" min="20" max="20"/>
  </cols>
  <sheetData>
    <row r="1" ht="30" customHeight="1">
      <c r="A1" s="1" t="inlineStr">
        <is>
          <t>Müllgebühren-Umlage — Betriebskostenabrechnung 2026</t>
        </is>
      </c>
      <c r="B1" s="32" t="n"/>
      <c r="C1" s="32" t="n"/>
      <c r="D1" s="32" t="n"/>
      <c r="E1" s="32" t="n"/>
      <c r="F1" s="32" t="n"/>
      <c r="G1" s="32" t="n"/>
      <c r="H1" s="32" t="n"/>
      <c r="I1" s="32" t="n"/>
      <c r="J1" s="32" t="n"/>
      <c r="K1" s="32" t="n"/>
      <c r="L1" s="32" t="n"/>
      <c r="M1" s="32" t="n"/>
      <c r="N1" s="32" t="n"/>
      <c r="O1" s="32" t="n"/>
      <c r="P1" s="32" t="n"/>
      <c r="Q1" s="32" t="n"/>
      <c r="R1" s="32" t="n"/>
      <c r="S1" s="32" t="n"/>
      <c r="T1" s="33" t="n"/>
    </row>
    <row r="2" ht="40" customHeight="1">
      <c r="A2" s="2" t="inlineStr">
        <is>
          <t>Objekt-ID</t>
        </is>
      </c>
      <c r="B2" s="2" t="inlineStr">
        <is>
          <t>Objektadresse</t>
        </is>
      </c>
      <c r="C2" s="2" t="inlineStr">
        <is>
          <t>Stadt</t>
        </is>
      </c>
      <c r="D2" s="2" t="inlineStr">
        <is>
          <t>Mieter / Einheit</t>
        </is>
      </c>
      <c r="E2" s="2" t="inlineStr">
        <is>
          <t>Wohnfläche m²</t>
        </is>
      </c>
      <c r="F2" s="2" t="inlineStr">
        <is>
          <t>Personenzahl</t>
        </is>
      </c>
      <c r="G2" s="2" t="inlineStr">
        <is>
          <t>Abrechnungszeitraum von</t>
        </is>
      </c>
      <c r="H2" s="2" t="inlineStr">
        <is>
          <t>Abrechnungszeitraum bis</t>
        </is>
      </c>
      <c r="I2" s="2" t="inlineStr">
        <is>
          <t>Restmüll €</t>
        </is>
      </c>
      <c r="J2" s="2" t="inlineStr">
        <is>
          <t>Biomüll €</t>
        </is>
      </c>
      <c r="K2" s="2" t="inlineStr">
        <is>
          <t>Papiermüll €</t>
        </is>
      </c>
      <c r="L2" s="2" t="inlineStr">
        <is>
          <t>Sperrmüll €</t>
        </is>
      </c>
      <c r="M2" s="2" t="inlineStr">
        <is>
          <t>Sonstige Entsorgung €</t>
        </is>
      </c>
      <c r="N2" s="2" t="inlineStr">
        <is>
          <t>Umlagefähige Müllgebühren €</t>
        </is>
      </c>
      <c r="O2" s="2" t="inlineStr">
        <is>
          <t>Verteilerschlüssel</t>
        </is>
      </c>
      <c r="P2" s="2" t="inlineStr">
        <is>
          <t>Umlageanteil %</t>
        </is>
      </c>
      <c r="Q2" s="2" t="inlineStr">
        <is>
          <t>Mieteranteil €</t>
        </is>
      </c>
      <c r="R2" s="2" t="inlineStr">
        <is>
          <t>Eigenanteil Vermieter €</t>
        </is>
      </c>
      <c r="S2" s="2" t="inlineStr">
        <is>
          <t>Bemerkung</t>
        </is>
      </c>
      <c r="T2" s="2" t="inlineStr">
        <is>
          <t>Status</t>
        </is>
      </c>
    </row>
    <row r="3">
      <c r="A3" s="3" t="inlineStr">
        <is>
          <t>OBJ-01</t>
        </is>
      </c>
      <c r="B3" s="4" t="inlineStr">
        <is>
          <t>Hauptstraße 12</t>
        </is>
      </c>
      <c r="C3" s="4" t="inlineStr">
        <is>
          <t>Berlin</t>
        </is>
      </c>
      <c r="D3" s="4" t="inlineStr">
        <is>
          <t>Thomas Becker / WE 1</t>
        </is>
      </c>
      <c r="E3" s="5" t="n">
        <v>68</v>
      </c>
      <c r="F3" s="6" t="n">
        <v>2</v>
      </c>
      <c r="G3" s="34" t="n">
        <v>46023</v>
      </c>
      <c r="H3" s="34" t="n">
        <v>46387</v>
      </c>
      <c r="I3" s="35" t="n">
        <v>210</v>
      </c>
      <c r="J3" s="35" t="n">
        <v>85</v>
      </c>
      <c r="K3" s="35" t="n">
        <v>60</v>
      </c>
      <c r="L3" s="35" t="n">
        <v>45</v>
      </c>
      <c r="M3" s="35" t="n">
        <v>0</v>
      </c>
      <c r="N3" s="36">
        <f>SUM(I3:M3)</f>
        <v/>
      </c>
      <c r="O3" s="10" t="inlineStr">
        <is>
          <t>Wohnfläche</t>
        </is>
      </c>
      <c r="P3" s="37">
        <f>IFERROR(IF(O3="Wohnfläche",E3/122.0,IF(O3="Personen",IFERROR(F3/3,0),IFERROR(1/2,0))),0)</f>
        <v/>
      </c>
      <c r="Q3" s="36">
        <f>IFERROR(N3*P3,0)</f>
        <v/>
      </c>
      <c r="R3" s="36">
        <f>IFERROR(N3-Q3,0)</f>
        <v/>
      </c>
      <c r="S3" s="4" t="inlineStr"/>
      <c r="T3" s="4">
        <f>IFERROR(IF(Q3&gt;0,"geprüft","offen"),"offen")</f>
        <v/>
      </c>
    </row>
    <row r="4">
      <c r="A4" s="12" t="inlineStr">
        <is>
          <t>OBJ-01</t>
        </is>
      </c>
      <c r="B4" s="13" t="inlineStr">
        <is>
          <t>Hauptstraße 12</t>
        </is>
      </c>
      <c r="C4" s="13" t="inlineStr">
        <is>
          <t>Berlin</t>
        </is>
      </c>
      <c r="D4" s="13" t="inlineStr">
        <is>
          <t>Sabine Müller / WE 2</t>
        </is>
      </c>
      <c r="E4" s="5" t="n">
        <v>54</v>
      </c>
      <c r="F4" s="6" t="n">
        <v>1</v>
      </c>
      <c r="G4" s="34" t="n">
        <v>46023</v>
      </c>
      <c r="H4" s="34" t="n">
        <v>46387</v>
      </c>
      <c r="I4" s="35" t="n">
        <v>210</v>
      </c>
      <c r="J4" s="35" t="n">
        <v>85</v>
      </c>
      <c r="K4" s="35" t="n">
        <v>60</v>
      </c>
      <c r="L4" s="35" t="n">
        <v>45</v>
      </c>
      <c r="M4" s="35" t="n">
        <v>0</v>
      </c>
      <c r="N4" s="38">
        <f>SUM(I4:M4)</f>
        <v/>
      </c>
      <c r="O4" s="10" t="inlineStr">
        <is>
          <t>Wohnfläche</t>
        </is>
      </c>
      <c r="P4" s="39">
        <f>IFERROR(IF(O4="Wohnfläche",E4/122.0,IF(O4="Personen",IFERROR(F4/3,0),IFERROR(1/2,0))),0)</f>
        <v/>
      </c>
      <c r="Q4" s="38">
        <f>IFERROR(N4*P4,0)</f>
        <v/>
      </c>
      <c r="R4" s="38">
        <f>IFERROR(N4-Q4,0)</f>
        <v/>
      </c>
      <c r="S4" s="13" t="inlineStr"/>
      <c r="T4" s="13">
        <f>IFERROR(IF(Q4&gt;0,"geprüft","offen"),"offen")</f>
        <v/>
      </c>
    </row>
    <row r="5">
      <c r="A5" s="3" t="inlineStr">
        <is>
          <t>OBJ-02</t>
        </is>
      </c>
      <c r="B5" s="4" t="inlineStr">
        <is>
          <t>Lindenallee 7</t>
        </is>
      </c>
      <c r="C5" s="4" t="inlineStr">
        <is>
          <t>München</t>
        </is>
      </c>
      <c r="D5" s="4" t="inlineStr">
        <is>
          <t>Andreas Schneider / WE 1</t>
        </is>
      </c>
      <c r="E5" s="5" t="n">
        <v>92</v>
      </c>
      <c r="F5" s="6" t="n">
        <v>3</v>
      </c>
      <c r="G5" s="34" t="n">
        <v>46023</v>
      </c>
      <c r="H5" s="34" t="n">
        <v>46387</v>
      </c>
      <c r="I5" s="35" t="n">
        <v>320</v>
      </c>
      <c r="J5" s="35" t="n">
        <v>110</v>
      </c>
      <c r="K5" s="35" t="n">
        <v>80</v>
      </c>
      <c r="L5" s="35" t="n">
        <v>60</v>
      </c>
      <c r="M5" s="35" t="n">
        <v>0</v>
      </c>
      <c r="N5" s="36">
        <f>SUM(I5:M5)</f>
        <v/>
      </c>
      <c r="O5" s="10" t="inlineStr">
        <is>
          <t>Personen</t>
        </is>
      </c>
      <c r="P5" s="37">
        <f>IFERROR(IF(O5="Wohnfläche",E5/170.0,IF(O5="Personen",IFERROR(F5/5,0),IFERROR(1/2,0))),0)</f>
        <v/>
      </c>
      <c r="Q5" s="36">
        <f>IFERROR(N5*P5,0)</f>
        <v/>
      </c>
      <c r="R5" s="36">
        <f>IFERROR(N5-Q5,0)</f>
        <v/>
      </c>
      <c r="S5" s="4" t="inlineStr"/>
      <c r="T5" s="4">
        <f>IFERROR(IF(Q5&gt;0,"abgerechnet","offen"),"offen")</f>
        <v/>
      </c>
    </row>
    <row r="6">
      <c r="A6" s="12" t="inlineStr">
        <is>
          <t>OBJ-02</t>
        </is>
      </c>
      <c r="B6" s="13" t="inlineStr">
        <is>
          <t>Lindenallee 7</t>
        </is>
      </c>
      <c r="C6" s="13" t="inlineStr">
        <is>
          <t>München</t>
        </is>
      </c>
      <c r="D6" s="13" t="inlineStr">
        <is>
          <t>Petra Wagner / WE 2</t>
        </is>
      </c>
      <c r="E6" s="5" t="n">
        <v>78</v>
      </c>
      <c r="F6" s="6" t="n">
        <v>2</v>
      </c>
      <c r="G6" s="34" t="n">
        <v>46023</v>
      </c>
      <c r="H6" s="34" t="n">
        <v>46387</v>
      </c>
      <c r="I6" s="35" t="n">
        <v>320</v>
      </c>
      <c r="J6" s="35" t="n">
        <v>110</v>
      </c>
      <c r="K6" s="35" t="n">
        <v>80</v>
      </c>
      <c r="L6" s="35" t="n">
        <v>60</v>
      </c>
      <c r="M6" s="35" t="n">
        <v>0</v>
      </c>
      <c r="N6" s="38">
        <f>SUM(I6:M6)</f>
        <v/>
      </c>
      <c r="O6" s="10" t="inlineStr">
        <is>
          <t>Personen</t>
        </is>
      </c>
      <c r="P6" s="39">
        <f>IFERROR(IF(O6="Wohnfläche",E6/170.0,IF(O6="Personen",IFERROR(F6/5,0),IFERROR(1/2,0))),0)</f>
        <v/>
      </c>
      <c r="Q6" s="38">
        <f>IFERROR(N6*P6,0)</f>
        <v/>
      </c>
      <c r="R6" s="38">
        <f>IFERROR(N6-Q6,0)</f>
        <v/>
      </c>
      <c r="S6" s="13" t="inlineStr"/>
      <c r="T6" s="13">
        <f>IFERROR(IF(Q6&gt;0,"abgerechnet","offen"),"offen")</f>
        <v/>
      </c>
    </row>
    <row r="7">
      <c r="A7" s="3" t="inlineStr">
        <is>
          <t>OBJ-03</t>
        </is>
      </c>
      <c r="B7" s="4" t="inlineStr">
        <is>
          <t>Goethestraße 45</t>
        </is>
      </c>
      <c r="C7" s="4" t="inlineStr">
        <is>
          <t>Hamburg</t>
        </is>
      </c>
      <c r="D7" s="4" t="inlineStr">
        <is>
          <t>Michael Hoffmann / WE 1</t>
        </is>
      </c>
      <c r="E7" s="5" t="n">
        <v>118</v>
      </c>
      <c r="F7" s="6" t="n">
        <v>4</v>
      </c>
      <c r="G7" s="34" t="n">
        <v>46023</v>
      </c>
      <c r="H7" s="34" t="n">
        <v>46387</v>
      </c>
      <c r="I7" s="35" t="n">
        <v>450</v>
      </c>
      <c r="J7" s="35" t="n">
        <v>130</v>
      </c>
      <c r="K7" s="35" t="n">
        <v>95</v>
      </c>
      <c r="L7" s="35" t="n">
        <v>80</v>
      </c>
      <c r="M7" s="35" t="n">
        <v>0</v>
      </c>
      <c r="N7" s="36">
        <f>SUM(I7:L7)</f>
        <v/>
      </c>
      <c r="O7" s="10" t="inlineStr">
        <is>
          <t>Wohnfläche</t>
        </is>
      </c>
      <c r="P7" s="37">
        <f>IFERROR(IF(O7="Wohnfläche",E7/193.0,IF(O7="Personen",IFERROR(F7/6,0),IFERROR(1/2,0))),0)</f>
        <v/>
      </c>
      <c r="Q7" s="36">
        <f>IFERROR(N7*P7,0)</f>
        <v/>
      </c>
      <c r="R7" s="36">
        <f>IFERROR(N7-Q7,0)</f>
        <v/>
      </c>
      <c r="S7" s="4" t="inlineStr"/>
      <c r="T7" s="4">
        <f>IFERROR(IF(Q7&gt;0,"geprüft","offen"),"offen")</f>
        <v/>
      </c>
    </row>
    <row r="8">
      <c r="A8" s="12" t="inlineStr">
        <is>
          <t>OBJ-03</t>
        </is>
      </c>
      <c r="B8" s="13" t="inlineStr">
        <is>
          <t>Goethestraße 45</t>
        </is>
      </c>
      <c r="C8" s="13" t="inlineStr">
        <is>
          <t>Hamburg</t>
        </is>
      </c>
      <c r="D8" s="13" t="inlineStr">
        <is>
          <t>Julia Richter / WE 2</t>
        </is>
      </c>
      <c r="E8" s="5" t="n">
        <v>75</v>
      </c>
      <c r="F8" s="6" t="n">
        <v>2</v>
      </c>
      <c r="G8" s="34" t="n">
        <v>46023</v>
      </c>
      <c r="H8" s="34" t="n">
        <v>46387</v>
      </c>
      <c r="I8" s="35" t="n">
        <v>450</v>
      </c>
      <c r="J8" s="35" t="n">
        <v>130</v>
      </c>
      <c r="K8" s="35" t="n">
        <v>95</v>
      </c>
      <c r="L8" s="35" t="n">
        <v>80</v>
      </c>
      <c r="M8" s="35" t="n">
        <v>0</v>
      </c>
      <c r="N8" s="38">
        <f>SUM(I8:M8)</f>
        <v/>
      </c>
      <c r="O8" s="10" t="inlineStr">
        <is>
          <t>Wohnfläche</t>
        </is>
      </c>
      <c r="P8" s="39">
        <f>IFERROR(IF(O8="Wohnfläche",E8/193.0,IF(O8="Personen",IFERROR(F8/6,0),IFERROR(1/2,0))),0)</f>
        <v/>
      </c>
      <c r="Q8" s="38">
        <f>IFERROR(N8*P8,0)</f>
        <v/>
      </c>
      <c r="R8" s="38">
        <f>IFERROR(N8-Q8,0)</f>
        <v/>
      </c>
      <c r="S8" s="13" t="inlineStr"/>
      <c r="T8" s="13">
        <f>IFERROR(IF(Q8&gt;0,"geprüft","offen"),"offen")</f>
        <v/>
      </c>
    </row>
    <row r="9">
      <c r="A9" s="3" t="inlineStr">
        <is>
          <t>OBJ-04</t>
        </is>
      </c>
      <c r="B9" s="4" t="inlineStr">
        <is>
          <t>Bergstraße 18</t>
        </is>
      </c>
      <c r="C9" s="4" t="inlineStr">
        <is>
          <t>Köln</t>
        </is>
      </c>
      <c r="D9" s="4" t="inlineStr">
        <is>
          <t>Stefan Weber / WE 1</t>
        </is>
      </c>
      <c r="E9" s="5" t="n">
        <v>62</v>
      </c>
      <c r="F9" s="6" t="n">
        <v>2</v>
      </c>
      <c r="G9" s="34" t="n">
        <v>46023</v>
      </c>
      <c r="H9" s="34" t="n">
        <v>46387</v>
      </c>
      <c r="I9" s="35" t="n">
        <v>180</v>
      </c>
      <c r="J9" s="35" t="n">
        <v>70</v>
      </c>
      <c r="K9" s="35" t="n">
        <v>50</v>
      </c>
      <c r="L9" s="35" t="n">
        <v>30</v>
      </c>
      <c r="M9" s="35" t="n">
        <v>120</v>
      </c>
      <c r="N9" s="36">
        <f>SUM(I9:M9)</f>
        <v/>
      </c>
      <c r="O9" s="10" t="inlineStr">
        <is>
          <t>Einheit</t>
        </is>
      </c>
      <c r="P9" s="37">
        <f>IFERROR(IF(O9="Wohnfläche",E9/62.0,IF(O9="Personen",IFERROR(F9/2,0),IFERROR(1/1,0))),0)</f>
        <v/>
      </c>
      <c r="Q9" s="36">
        <f>IFERROR(N9*P9,0)</f>
        <v/>
      </c>
      <c r="R9" s="36">
        <f>M9</f>
        <v/>
      </c>
      <c r="S9" s="4" t="inlineStr">
        <is>
          <t>Sonderentsorgung nicht umlagefähig</t>
        </is>
      </c>
      <c r="T9" s="4">
        <f>IFERROR(IF(Q9&gt;0,"offen","offen"),"offen")</f>
        <v/>
      </c>
    </row>
    <row r="10">
      <c r="A10" s="12" t="inlineStr">
        <is>
          <t>OBJ-05</t>
        </is>
      </c>
      <c r="B10" s="13" t="inlineStr">
        <is>
          <t>Schillerstraße 9</t>
        </is>
      </c>
      <c r="C10" s="13" t="inlineStr">
        <is>
          <t>Frankfurt am Main</t>
        </is>
      </c>
      <c r="D10" s="13" t="inlineStr">
        <is>
          <t>Claudia Fischer / WE 1</t>
        </is>
      </c>
      <c r="E10" s="5" t="n">
        <v>85</v>
      </c>
      <c r="F10" s="6" t="n"/>
      <c r="G10" s="34" t="n">
        <v>46023</v>
      </c>
      <c r="H10" s="34" t="n">
        <v>46387</v>
      </c>
      <c r="I10" s="35" t="n">
        <v>280</v>
      </c>
      <c r="J10" s="35" t="n">
        <v>95</v>
      </c>
      <c r="K10" s="35" t="n">
        <v>70</v>
      </c>
      <c r="L10" s="35" t="n">
        <v>55</v>
      </c>
      <c r="M10" s="35" t="n">
        <v>0</v>
      </c>
      <c r="N10" s="38">
        <f>SUM(I10:M10)</f>
        <v/>
      </c>
      <c r="O10" s="10" t="inlineStr">
        <is>
          <t>Personen</t>
        </is>
      </c>
      <c r="P10" s="39">
        <f>IFERROR(IF(O10="Wohnfläche",IFERROR(E10/85.0,0),IF(O10="Personen",IFERROR(F10/1,0),IFERROR(1/1,0))),0)</f>
        <v/>
      </c>
      <c r="Q10" s="38">
        <f>IFERROR(N10*P10,0)</f>
        <v/>
      </c>
      <c r="R10" s="38">
        <f>IFERROR(N10-Q10,0)</f>
        <v/>
      </c>
      <c r="S10" s="13" t="inlineStr">
        <is>
          <t>Personenzahl fehlt – bitte ergänzen</t>
        </is>
      </c>
      <c r="T10" s="13">
        <f>IFERROR(IF(Q10&gt;0,"offen","offen"),"offen")</f>
        <v/>
      </c>
    </row>
    <row r="11">
      <c r="A11" s="3" t="inlineStr">
        <is>
          <t>OBJ-06</t>
        </is>
      </c>
      <c r="B11" s="4" t="inlineStr">
        <is>
          <t>Bahnhofstraße 23</t>
        </is>
      </c>
      <c r="C11" s="4" t="inlineStr">
        <is>
          <t>Stuttgart</t>
        </is>
      </c>
      <c r="D11" s="4" t="inlineStr">
        <is>
          <t>Markus Bauer / WE 1</t>
        </is>
      </c>
      <c r="E11" s="5" t="n">
        <v>72</v>
      </c>
      <c r="F11" s="6" t="n">
        <v>3</v>
      </c>
      <c r="G11" s="34" t="n">
        <v>46023</v>
      </c>
      <c r="H11" s="34" t="n">
        <v>46387</v>
      </c>
      <c r="I11" s="35" t="n">
        <v>260</v>
      </c>
      <c r="J11" s="35" t="n">
        <v>90</v>
      </c>
      <c r="K11" s="35" t="n">
        <v>65</v>
      </c>
      <c r="L11" s="35" t="n">
        <v>50</v>
      </c>
      <c r="M11" s="35" t="n">
        <v>0</v>
      </c>
      <c r="N11" s="36">
        <f>SUM(I11:M11)</f>
        <v/>
      </c>
      <c r="O11" s="10" t="inlineStr">
        <is>
          <t>Wohnfläche</t>
        </is>
      </c>
      <c r="P11" s="37">
        <f>IFERROR(IF(O11="Wohnfläche",E11/72.0,IF(O11="Personen",IFERROR(F11/3,0),IFERROR(1/1,0))),0)</f>
        <v/>
      </c>
      <c r="Q11" s="36">
        <f>IFERROR(N11*P11,0)</f>
        <v/>
      </c>
      <c r="R11" s="36">
        <f>IFERROR(N11-Q11,0)</f>
        <v/>
      </c>
      <c r="S11" s="4" t="inlineStr"/>
      <c r="T11" s="4">
        <f>IFERROR(IF(Q11&gt;0,"abgerechnet","offen"),"offen")</f>
        <v/>
      </c>
    </row>
    <row r="12">
      <c r="A12" s="12" t="inlineStr">
        <is>
          <t>OBJ-07</t>
        </is>
      </c>
      <c r="B12" s="13" t="inlineStr">
        <is>
          <t>Parkweg 5</t>
        </is>
      </c>
      <c r="C12" s="13" t="inlineStr">
        <is>
          <t>Düsseldorf</t>
        </is>
      </c>
      <c r="D12" s="13" t="inlineStr">
        <is>
          <t>Nicole Schulz / WE 1</t>
        </is>
      </c>
      <c r="E12" s="5" t="n">
        <v>55</v>
      </c>
      <c r="F12" s="6" t="n">
        <v>1</v>
      </c>
      <c r="G12" s="34" t="n">
        <v>46023</v>
      </c>
      <c r="H12" s="34" t="n">
        <v>46387</v>
      </c>
      <c r="I12" s="35" t="n">
        <v>195</v>
      </c>
      <c r="J12" s="35" t="n">
        <v>75</v>
      </c>
      <c r="K12" s="35" t="n">
        <v>55</v>
      </c>
      <c r="L12" s="35" t="n">
        <v>35</v>
      </c>
      <c r="M12" s="35" t="n">
        <v>0</v>
      </c>
      <c r="N12" s="38">
        <f>SUM(I12:M12)</f>
        <v/>
      </c>
      <c r="O12" s="10" t="inlineStr">
        <is>
          <t>Einheit</t>
        </is>
      </c>
      <c r="P12" s="39">
        <f>IFERROR(IF(O12="Wohnfläche",E12/55.0,IF(O12="Personen",IFERROR(F12/1,0),IFERROR(1/1,0))),0)</f>
        <v/>
      </c>
      <c r="Q12" s="38">
        <f>IFERROR(N12*P12,0)</f>
        <v/>
      </c>
      <c r="R12" s="38">
        <f>IFERROR(N12-Q12,0)</f>
        <v/>
      </c>
      <c r="S12" s="13" t="inlineStr"/>
      <c r="T12" s="13">
        <f>IFERROR(IF(Q12&gt;0,"geprüft","offen"),"offen")</f>
        <v/>
      </c>
    </row>
    <row r="13">
      <c r="A13" s="2" t="inlineStr">
        <is>
          <t>SUMMEN / GESAMTÜBERSICHT</t>
        </is>
      </c>
      <c r="B13" s="32" t="n"/>
      <c r="C13" s="32" t="n"/>
      <c r="D13" s="32" t="n"/>
      <c r="E13" s="32" t="n"/>
      <c r="F13" s="32" t="n"/>
      <c r="G13" s="32" t="n"/>
      <c r="H13" s="33" t="n"/>
      <c r="I13" s="40">
        <f>SUM(I3:I11)</f>
        <v/>
      </c>
      <c r="J13" s="40">
        <f>SUM(J3:J11)</f>
        <v/>
      </c>
      <c r="K13" s="40">
        <f>SUM(K3:K11)</f>
        <v/>
      </c>
      <c r="L13" s="40">
        <f>SUM(L3:L11)</f>
        <v/>
      </c>
      <c r="M13" s="40">
        <f>SUM(M3:M11)</f>
        <v/>
      </c>
      <c r="N13" s="40">
        <f>SUM(N3:N11)</f>
        <v/>
      </c>
      <c r="O13" s="40">
        <f>SUM(O3:O11)</f>
        <v/>
      </c>
      <c r="P13" s="41">
        <f>IFERROR(AVERAGE(P3:P11),0)</f>
        <v/>
      </c>
      <c r="Q13" s="40">
        <f>SUM(Q3:Q11)</f>
        <v/>
      </c>
      <c r="R13" s="40">
        <f>SUM(R3:R11)</f>
        <v/>
      </c>
    </row>
  </sheetData>
  <mergeCells count="2">
    <mergeCell ref="A1:T1"/>
    <mergeCell ref="A13:H13"/>
  </mergeCells>
  <conditionalFormatting sqref="T3:T12">
    <cfRule type="expression" priority="1" dxfId="0" stopIfTrue="1">
      <formula>T3="offen"</formula>
    </cfRule>
    <cfRule type="expression" priority="2" dxfId="1" stopIfTrue="1">
      <formula>T3="abgerechnet"</formula>
    </cfRule>
    <cfRule type="expression" priority="3" dxfId="2" stopIfTrue="1">
      <formula>T3="geprüft"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M1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0" customWidth="1" min="1" max="1"/>
    <col width="14" customWidth="1" min="2" max="2"/>
    <col width="22" customWidth="1" min="3" max="3"/>
    <col width="14" customWidth="1" min="4" max="4"/>
    <col width="10" customWidth="1" min="5" max="5"/>
    <col width="22" customWidth="1" min="6" max="6"/>
    <col width="22" customWidth="1" min="7" max="7"/>
    <col width="20" customWidth="1" min="8" max="8"/>
    <col width="18" customWidth="1" min="9" max="9"/>
    <col width="18" customWidth="1" min="10" max="10"/>
    <col width="22" customWidth="1" min="11" max="11"/>
    <col width="14" customWidth="1" min="12" max="12"/>
    <col width="12" customWidth="1" min="13" max="13"/>
  </cols>
  <sheetData>
    <row r="1" ht="30" customHeight="1">
      <c r="A1" s="1" t="inlineStr">
        <is>
          <t>Verteilung der Müllgebühren nach Mieter / Einheit — 2026</t>
        </is>
      </c>
      <c r="B1" s="32" t="n"/>
      <c r="C1" s="32" t="n"/>
      <c r="D1" s="32" t="n"/>
      <c r="E1" s="32" t="n"/>
      <c r="F1" s="32" t="n"/>
      <c r="G1" s="32" t="n"/>
      <c r="H1" s="32" t="n"/>
      <c r="I1" s="32" t="n"/>
      <c r="J1" s="32" t="n"/>
      <c r="K1" s="32" t="n"/>
      <c r="L1" s="32" t="n"/>
      <c r="M1" s="33" t="n"/>
    </row>
    <row r="2" ht="40" customHeight="1">
      <c r="A2" s="2" t="inlineStr">
        <is>
          <t>Objekt-ID</t>
        </is>
      </c>
      <c r="B2" s="2" t="inlineStr">
        <is>
          <t>Einheit</t>
        </is>
      </c>
      <c r="C2" s="2" t="inlineStr">
        <is>
          <t>Mietername</t>
        </is>
      </c>
      <c r="D2" s="2" t="inlineStr">
        <is>
          <t>Wohnfläche m²</t>
        </is>
      </c>
      <c r="E2" s="2" t="inlineStr">
        <is>
          <t>Personen</t>
        </is>
      </c>
      <c r="F2" s="2" t="inlineStr">
        <is>
          <t>Gesamtwohnfläche Objekt</t>
        </is>
      </c>
      <c r="G2" s="2" t="inlineStr">
        <is>
          <t>Gesamtpersonen Objekt</t>
        </is>
      </c>
      <c r="H2" s="2" t="inlineStr">
        <is>
          <t>Müllkosten gesamt €</t>
        </is>
      </c>
      <c r="I2" s="2" t="inlineStr">
        <is>
          <t>Verteilerschlüssel</t>
        </is>
      </c>
      <c r="J2" s="2" t="inlineStr">
        <is>
          <t>Berechneter Anteil %</t>
        </is>
      </c>
      <c r="K2" s="2" t="inlineStr">
        <is>
          <t>Umlagefähiger Anteil €</t>
        </is>
      </c>
      <c r="L2" s="2" t="inlineStr">
        <is>
          <t>Abweichung €</t>
        </is>
      </c>
      <c r="M2" s="2" t="inlineStr">
        <is>
          <t>Plausibel?</t>
        </is>
      </c>
    </row>
    <row r="3">
      <c r="A3" s="3" t="inlineStr">
        <is>
          <t>OBJ-01</t>
        </is>
      </c>
      <c r="B3" s="4" t="inlineStr">
        <is>
          <t>WE 1</t>
        </is>
      </c>
      <c r="C3" s="4" t="inlineStr">
        <is>
          <t>Thomas Becker</t>
        </is>
      </c>
      <c r="D3" s="5" t="n">
        <v>68</v>
      </c>
      <c r="E3" s="5" t="n">
        <v>2</v>
      </c>
      <c r="F3" s="18">
        <f>IFERROR(SUMIF(Müllgebühren!A:A,A3,Müllgebühren!E:E),122.0)</f>
        <v/>
      </c>
      <c r="G3" s="18">
        <f>IFERROR(SUMIF(Müllgebühren!A:A,A3,Müllgebühren!F:F),3)</f>
        <v/>
      </c>
      <c r="H3" s="36" t="n">
        <v>400</v>
      </c>
      <c r="I3" s="10" t="inlineStr">
        <is>
          <t>Wohnfläche</t>
        </is>
      </c>
      <c r="J3" s="37">
        <f>IFERROR(IF(I3="Wohnfläche",IFERROR(D3/F3,0),IF(I3="Personen",IFERROR(E3/G3,0),IFERROR(1/COUNTIF(Müllgebühren!A:A,A3),0))),0)</f>
        <v/>
      </c>
      <c r="K3" s="36">
        <f>IFERROR(H3*J3,0)</f>
        <v/>
      </c>
      <c r="L3" s="36">
        <f>IFERROR(IFERROR(INDEX(Müllgebühren!Q:Q,MATCH(C3,Müllgebühren!D:D,0)),0)-K3,0)</f>
        <v/>
      </c>
      <c r="M3" s="18">
        <f>IFERROR(IF(ABS(L3)&lt;0.01,"Ja","Nein"),"Nein")</f>
        <v/>
      </c>
    </row>
    <row r="4">
      <c r="A4" s="12" t="inlineStr">
        <is>
          <t>OBJ-01</t>
        </is>
      </c>
      <c r="B4" s="13" t="inlineStr">
        <is>
          <t>WE 2</t>
        </is>
      </c>
      <c r="C4" s="13" t="inlineStr">
        <is>
          <t>Sabine Müller</t>
        </is>
      </c>
      <c r="D4" s="5" t="n">
        <v>54</v>
      </c>
      <c r="E4" s="5" t="n">
        <v>1</v>
      </c>
      <c r="F4" s="19">
        <f>IFERROR(SUMIF(Müllgebühren!A:A,A4,Müllgebühren!E:E),122.0)</f>
        <v/>
      </c>
      <c r="G4" s="19">
        <f>IFERROR(SUMIF(Müllgebühren!A:A,A4,Müllgebühren!F:F),3)</f>
        <v/>
      </c>
      <c r="H4" s="38" t="n">
        <v>400</v>
      </c>
      <c r="I4" s="10" t="inlineStr">
        <is>
          <t>Wohnfläche</t>
        </is>
      </c>
      <c r="J4" s="39">
        <f>IFERROR(IF(I4="Wohnfläche",IFERROR(D4/F4,0),IF(I4="Personen",IFERROR(E4/G4,0),IFERROR(1/COUNTIF(Müllgebühren!A:A,A4),0))),0)</f>
        <v/>
      </c>
      <c r="K4" s="38">
        <f>IFERROR(H4*J4,0)</f>
        <v/>
      </c>
      <c r="L4" s="38">
        <f>IFERROR(IFERROR(INDEX(Müllgebühren!Q:Q,MATCH(C4,Müllgebühren!D:D,0)),0)-K4,0)</f>
        <v/>
      </c>
      <c r="M4" s="19">
        <f>IFERROR(IF(ABS(L4)&lt;0.01,"Ja","Nein"),"Nein")</f>
        <v/>
      </c>
    </row>
    <row r="5">
      <c r="A5" s="3" t="inlineStr">
        <is>
          <t>OBJ-02</t>
        </is>
      </c>
      <c r="B5" s="4" t="inlineStr">
        <is>
          <t>WE 1</t>
        </is>
      </c>
      <c r="C5" s="4" t="inlineStr">
        <is>
          <t>Andreas Schneider</t>
        </is>
      </c>
      <c r="D5" s="5" t="n">
        <v>92</v>
      </c>
      <c r="E5" s="5" t="n">
        <v>3</v>
      </c>
      <c r="F5" s="18">
        <f>IFERROR(SUMIF(Müllgebühren!A:A,A5,Müllgebühren!E:E),170.0)</f>
        <v/>
      </c>
      <c r="G5" s="18">
        <f>IFERROR(SUMIF(Müllgebühren!A:A,A5,Müllgebühren!F:F),5)</f>
        <v/>
      </c>
      <c r="H5" s="36" t="n">
        <v>570</v>
      </c>
      <c r="I5" s="10" t="inlineStr">
        <is>
          <t>Personen</t>
        </is>
      </c>
      <c r="J5" s="37">
        <f>IFERROR(IF(I5="Wohnfläche",IFERROR(D5/F5,0),IF(I5="Personen",IFERROR(E5/G5,0),IFERROR(1/COUNTIF(Müllgebühren!A:A,A5),0))),0)</f>
        <v/>
      </c>
      <c r="K5" s="36">
        <f>IFERROR(H5*J5,0)</f>
        <v/>
      </c>
      <c r="L5" s="36">
        <f>IFERROR(IFERROR(INDEX(Müllgebühren!Q:Q,MATCH(C5,Müllgebühren!D:D,0)),0)-K5,0)</f>
        <v/>
      </c>
      <c r="M5" s="18">
        <f>IFERROR(IF(ABS(L5)&lt;0.01,"Ja","Nein"),"Nein")</f>
        <v/>
      </c>
    </row>
    <row r="6">
      <c r="A6" s="12" t="inlineStr">
        <is>
          <t>OBJ-02</t>
        </is>
      </c>
      <c r="B6" s="13" t="inlineStr">
        <is>
          <t>WE 2</t>
        </is>
      </c>
      <c r="C6" s="13" t="inlineStr">
        <is>
          <t>Petra Wagner</t>
        </is>
      </c>
      <c r="D6" s="5" t="n">
        <v>78</v>
      </c>
      <c r="E6" s="5" t="n">
        <v>2</v>
      </c>
      <c r="F6" s="19">
        <f>IFERROR(SUMIF(Müllgebühren!A:A,A6,Müllgebühren!E:E),170.0)</f>
        <v/>
      </c>
      <c r="G6" s="19">
        <f>IFERROR(SUMIF(Müllgebühren!A:A,A6,Müllgebühren!F:F),5)</f>
        <v/>
      </c>
      <c r="H6" s="38" t="n">
        <v>570</v>
      </c>
      <c r="I6" s="10" t="inlineStr">
        <is>
          <t>Personen</t>
        </is>
      </c>
      <c r="J6" s="39">
        <f>IFERROR(IF(I6="Wohnfläche",IFERROR(D6/F6,0),IF(I6="Personen",IFERROR(E6/G6,0),IFERROR(1/COUNTIF(Müllgebühren!A:A,A6),0))),0)</f>
        <v/>
      </c>
      <c r="K6" s="38">
        <f>IFERROR(H6*J6,0)</f>
        <v/>
      </c>
      <c r="L6" s="38">
        <f>IFERROR(IFERROR(INDEX(Müllgebühren!Q:Q,MATCH(C6,Müllgebühren!D:D,0)),0)-K6,0)</f>
        <v/>
      </c>
      <c r="M6" s="19">
        <f>IFERROR(IF(ABS(L6)&lt;0.01,"Ja","Nein"),"Nein")</f>
        <v/>
      </c>
    </row>
    <row r="7">
      <c r="A7" s="3" t="inlineStr">
        <is>
          <t>OBJ-03</t>
        </is>
      </c>
      <c r="B7" s="4" t="inlineStr">
        <is>
          <t>WE 1</t>
        </is>
      </c>
      <c r="C7" s="4" t="inlineStr">
        <is>
          <t>Michael Hoffmann</t>
        </is>
      </c>
      <c r="D7" s="5" t="n">
        <v>118</v>
      </c>
      <c r="E7" s="5" t="n">
        <v>4</v>
      </c>
      <c r="F7" s="18">
        <f>IFERROR(SUMIF(Müllgebühren!A:A,A7,Müllgebühren!E:E),193.0)</f>
        <v/>
      </c>
      <c r="G7" s="18">
        <f>IFERROR(SUMIF(Müllgebühren!A:A,A7,Müllgebühren!F:F),6)</f>
        <v/>
      </c>
      <c r="H7" s="36" t="n">
        <v>755</v>
      </c>
      <c r="I7" s="10" t="inlineStr">
        <is>
          <t>Wohnfläche</t>
        </is>
      </c>
      <c r="J7" s="37">
        <f>IFERROR(IF(I7="Wohnfläche",IFERROR(D7/F7,0),IF(I7="Personen",IFERROR(E7/G7,0),IFERROR(1/COUNTIF(Müllgebühren!A:A,A7),0))),0)</f>
        <v/>
      </c>
      <c r="K7" s="36">
        <f>IFERROR(H7*J7,0)</f>
        <v/>
      </c>
      <c r="L7" s="36">
        <f>IFERROR(IFERROR(INDEX(Müllgebühren!Q:Q,MATCH(C7,Müllgebühren!D:D,0)),0)-K7,0)</f>
        <v/>
      </c>
      <c r="M7" s="18">
        <f>IFERROR(IF(ABS(L7)&lt;0.01,"Ja","Nein"),"Nein")</f>
        <v/>
      </c>
    </row>
    <row r="8">
      <c r="A8" s="12" t="inlineStr">
        <is>
          <t>OBJ-03</t>
        </is>
      </c>
      <c r="B8" s="13" t="inlineStr">
        <is>
          <t>WE 2</t>
        </is>
      </c>
      <c r="C8" s="13" t="inlineStr">
        <is>
          <t>Julia Richter</t>
        </is>
      </c>
      <c r="D8" s="5" t="n">
        <v>75</v>
      </c>
      <c r="E8" s="5" t="n">
        <v>2</v>
      </c>
      <c r="F8" s="19">
        <f>IFERROR(SUMIF(Müllgebühren!A:A,A8,Müllgebühren!E:E),193.0)</f>
        <v/>
      </c>
      <c r="G8" s="19">
        <f>IFERROR(SUMIF(Müllgebühren!A:A,A8,Müllgebühren!F:F),6)</f>
        <v/>
      </c>
      <c r="H8" s="38" t="n">
        <v>755</v>
      </c>
      <c r="I8" s="10" t="inlineStr">
        <is>
          <t>Wohnfläche</t>
        </is>
      </c>
      <c r="J8" s="39">
        <f>IFERROR(IF(I8="Wohnfläche",IFERROR(D8/F8,0),IF(I8="Personen",IFERROR(E8/G8,0),IFERROR(1/COUNTIF(Müllgebühren!A:A,A8),0))),0)</f>
        <v/>
      </c>
      <c r="K8" s="38">
        <f>IFERROR(H8*J8,0)</f>
        <v/>
      </c>
      <c r="L8" s="38">
        <f>IFERROR(IFERROR(INDEX(Müllgebühren!Q:Q,MATCH(C8,Müllgebühren!D:D,0)),0)-K8,0)</f>
        <v/>
      </c>
      <c r="M8" s="19">
        <f>IFERROR(IF(ABS(L8)&lt;0.01,"Ja","Nein"),"Nein")</f>
        <v/>
      </c>
    </row>
    <row r="9">
      <c r="A9" s="3" t="inlineStr">
        <is>
          <t>OBJ-04</t>
        </is>
      </c>
      <c r="B9" s="4" t="inlineStr">
        <is>
          <t>WE 1</t>
        </is>
      </c>
      <c r="C9" s="4" t="inlineStr">
        <is>
          <t>Stefan Weber</t>
        </is>
      </c>
      <c r="D9" s="5" t="n">
        <v>62</v>
      </c>
      <c r="E9" s="5" t="n">
        <v>2</v>
      </c>
      <c r="F9" s="18">
        <f>IFERROR(SUMIF(Müllgebühren!A:A,A9,Müllgebühren!E:E),62.0)</f>
        <v/>
      </c>
      <c r="G9" s="18">
        <f>IFERROR(SUMIF(Müllgebühren!A:A,A9,Müllgebühren!F:F),2)</f>
        <v/>
      </c>
      <c r="H9" s="36" t="n">
        <v>450</v>
      </c>
      <c r="I9" s="10" t="inlineStr">
        <is>
          <t>Einheit</t>
        </is>
      </c>
      <c r="J9" s="37">
        <f>IFERROR(IF(I9="Wohnfläche",IFERROR(D9/F9,0),IF(I9="Personen",IFERROR(E9/G9,0),IFERROR(1/COUNTIF(Müllgebühren!A:A,A9),0))),0)</f>
        <v/>
      </c>
      <c r="K9" s="36">
        <f>IFERROR(H9*J9,0)</f>
        <v/>
      </c>
      <c r="L9" s="36">
        <f>IFERROR(IFERROR(INDEX(Müllgebühren!Q:Q,MATCH(C9,Müllgebühren!D:D,0)),0)-K9,0)</f>
        <v/>
      </c>
      <c r="M9" s="18">
        <f>IFERROR(IF(ABS(L9)&lt;0.01,"Ja","Nein"),"Nein")</f>
        <v/>
      </c>
    </row>
    <row r="10">
      <c r="A10" s="12" t="inlineStr">
        <is>
          <t>OBJ-05</t>
        </is>
      </c>
      <c r="B10" s="13" t="inlineStr">
        <is>
          <t>WE 1</t>
        </is>
      </c>
      <c r="C10" s="13" t="inlineStr">
        <is>
          <t>Claudia Fischer</t>
        </is>
      </c>
      <c r="D10" s="5" t="n">
        <v>85</v>
      </c>
      <c r="E10" s="5" t="n"/>
      <c r="F10" s="19">
        <f>IFERROR(SUMIF(Müllgebühren!A:A,A10,Müllgebühren!E:E),85.0)</f>
        <v/>
      </c>
      <c r="G10" s="19">
        <f>IFERROR(SUMIF(Müllgebühren!A:A,A10,Müllgebühren!F:F),0)</f>
        <v/>
      </c>
      <c r="H10" s="38" t="n">
        <v>500</v>
      </c>
      <c r="I10" s="10" t="inlineStr">
        <is>
          <t>Personen</t>
        </is>
      </c>
      <c r="J10" s="39">
        <f>IFERROR(IF(I10="Wohnfläche",IFERROR(D10/F10,0),IF(I10="Personen",IFERROR(E10/G10,0),IFERROR(1/COUNTIF(Müllgebühren!A:A,A10),0))),0)</f>
        <v/>
      </c>
      <c r="K10" s="38">
        <f>IFERROR(H10*J10,0)</f>
        <v/>
      </c>
      <c r="L10" s="38">
        <f>IFERROR(IFERROR(INDEX(Müllgebühren!Q:Q,MATCH(C10,Müllgebühren!D:D,0)),0)-K10,0)</f>
        <v/>
      </c>
      <c r="M10" s="19">
        <f>IFERROR(IF(ABS(L10)&lt;0.01,"Ja","Nein"),"Nein")</f>
        <v/>
      </c>
    </row>
    <row r="11">
      <c r="A11" s="3" t="inlineStr">
        <is>
          <t>OBJ-06</t>
        </is>
      </c>
      <c r="B11" s="4" t="inlineStr">
        <is>
          <t>WE 1</t>
        </is>
      </c>
      <c r="C11" s="4" t="inlineStr">
        <is>
          <t>Markus Bauer</t>
        </is>
      </c>
      <c r="D11" s="5" t="n">
        <v>72</v>
      </c>
      <c r="E11" s="5" t="n">
        <v>3</v>
      </c>
      <c r="F11" s="18">
        <f>IFERROR(SUMIF(Müllgebühren!A:A,A11,Müllgebühren!E:E),72.0)</f>
        <v/>
      </c>
      <c r="G11" s="18">
        <f>IFERROR(SUMIF(Müllgebühren!A:A,A11,Müllgebühren!F:F),3)</f>
        <v/>
      </c>
      <c r="H11" s="36" t="n">
        <v>465</v>
      </c>
      <c r="I11" s="10" t="inlineStr">
        <is>
          <t>Wohnfläche</t>
        </is>
      </c>
      <c r="J11" s="37">
        <f>IFERROR(IF(I11="Wohnfläche",IFERROR(D11/F11,0),IF(I11="Personen",IFERROR(E11/G11,0),IFERROR(1/COUNTIF(Müllgebühren!A:A,A11),0))),0)</f>
        <v/>
      </c>
      <c r="K11" s="36">
        <f>IFERROR(H11*J11,0)</f>
        <v/>
      </c>
      <c r="L11" s="36">
        <f>IFERROR(IFERROR(INDEX(Müllgebühren!Q:Q,MATCH(C11,Müllgebühren!D:D,0)),0)-K11,0)</f>
        <v/>
      </c>
      <c r="M11" s="18">
        <f>IFERROR(IF(ABS(L11)&lt;0.01,"Ja","Nein"),"Nein")</f>
        <v/>
      </c>
    </row>
    <row r="12">
      <c r="A12" s="12" t="inlineStr">
        <is>
          <t>OBJ-07</t>
        </is>
      </c>
      <c r="B12" s="13" t="inlineStr">
        <is>
          <t>WE 1</t>
        </is>
      </c>
      <c r="C12" s="13" t="inlineStr">
        <is>
          <t>Nicole Schulz</t>
        </is>
      </c>
      <c r="D12" s="5" t="n">
        <v>55</v>
      </c>
      <c r="E12" s="5" t="n">
        <v>1</v>
      </c>
      <c r="F12" s="19">
        <f>IFERROR(SUMIF(Müllgebühren!A:A,A12,Müllgebühren!E:E),55.0)</f>
        <v/>
      </c>
      <c r="G12" s="19">
        <f>IFERROR(SUMIF(Müllgebühren!A:A,A12,Müllgebühren!F:F),1)</f>
        <v/>
      </c>
      <c r="H12" s="38" t="n">
        <v>360</v>
      </c>
      <c r="I12" s="10" t="inlineStr">
        <is>
          <t>Einheit</t>
        </is>
      </c>
      <c r="J12" s="39">
        <f>IFERROR(IF(I12="Wohnfläche",IFERROR(D12/F12,0),IF(I12="Personen",IFERROR(E12/G12,0),IFERROR(1/COUNTIF(Müllgebühren!A:A,A12),0))),0)</f>
        <v/>
      </c>
      <c r="K12" s="38">
        <f>IFERROR(H12*J12,0)</f>
        <v/>
      </c>
      <c r="L12" s="38">
        <f>IFERROR(IFERROR(INDEX(Müllgebühren!Q:Q,MATCH(C12,Müllgebühren!D:D,0)),0)-K12,0)</f>
        <v/>
      </c>
      <c r="M12" s="19">
        <f>IFERROR(IF(ABS(L12)&lt;0.01,"Ja","Nein"),"Nein")</f>
        <v/>
      </c>
    </row>
  </sheetData>
  <mergeCells count="1">
    <mergeCell ref="A1:M1"/>
  </mergeCells>
  <conditionalFormatting sqref="M3:M12">
    <cfRule type="expression" priority="1" dxfId="0" stopIfTrue="1">
      <formula>M3="Nein"</formula>
    </cfRule>
    <cfRule type="expression" priority="2" dxfId="1" stopIfTrue="1">
      <formula>M3="Ja"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N29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  <col width="16" customWidth="1" min="11" max="11"/>
    <col width="16" customWidth="1" min="12" max="12"/>
    <col width="16" customWidth="1" min="13" max="13"/>
    <col width="16" customWidth="1" min="14" max="14"/>
    <col width="16" customWidth="1" min="15" max="15"/>
    <col width="16" customWidth="1" min="16" max="16"/>
    <col width="16" customWidth="1" min="17" max="17"/>
    <col width="16" customWidth="1" min="18" max="18"/>
    <col width="16" customWidth="1" min="19" max="19"/>
  </cols>
  <sheetData>
    <row r="1" ht="35" customHeight="1">
      <c r="A1" s="1" t="inlineStr">
        <is>
          <t>Dashboard — Müllgebühren-Umlage 2026</t>
        </is>
      </c>
      <c r="B1" s="32" t="n"/>
      <c r="C1" s="32" t="n"/>
      <c r="D1" s="32" t="n"/>
      <c r="E1" s="32" t="n"/>
      <c r="F1" s="32" t="n"/>
      <c r="G1" s="32" t="n"/>
      <c r="H1" s="32" t="n"/>
      <c r="I1" s="32" t="n"/>
      <c r="J1" s="32" t="n"/>
      <c r="K1" s="32" t="n"/>
      <c r="L1" s="32" t="n"/>
      <c r="M1" s="32" t="n"/>
      <c r="N1" s="33" t="n"/>
    </row>
    <row r="2"/>
    <row r="3">
      <c r="A3" s="2" t="inlineStr">
        <is>
          <t>Kennzahl</t>
        </is>
      </c>
      <c r="B3" s="33" t="n"/>
      <c r="C3" s="2" t="inlineStr">
        <is>
          <t>Wert</t>
        </is>
      </c>
      <c r="D3" s="33" t="n"/>
    </row>
    <row r="4">
      <c r="A4" s="20" t="inlineStr">
        <is>
          <t>Gesamte Müllkosten €</t>
        </is>
      </c>
      <c r="B4" s="33" t="n"/>
      <c r="C4" s="42">
        <f>IFERROR(SUM(Müllgebühren!N3:N12),0)</f>
        <v/>
      </c>
      <c r="D4" s="33" t="n"/>
    </row>
    <row r="5">
      <c r="A5" s="22" t="inlineStr">
        <is>
          <t>Umlagefähige Kosten (Mieter) €</t>
        </is>
      </c>
      <c r="B5" s="33" t="n"/>
      <c r="C5" s="42">
        <f>IFERROR(SUM(Müllgebühren!Q3:Q12),0)</f>
        <v/>
      </c>
      <c r="D5" s="33" t="n"/>
    </row>
    <row r="6">
      <c r="A6" s="20" t="inlineStr">
        <is>
          <t>Eigenanteil Vermieter €</t>
        </is>
      </c>
      <c r="B6" s="33" t="n"/>
      <c r="C6" s="42">
        <f>IFERROR(SUM(Müllgebühren!R3:R12),0)</f>
        <v/>
      </c>
      <c r="D6" s="33" t="n"/>
    </row>
    <row r="7">
      <c r="A7" s="22" t="inlineStr">
        <is>
          <t>Umlagequote %</t>
        </is>
      </c>
      <c r="B7" s="33" t="n"/>
      <c r="C7" s="43">
        <f>IFERROR(SUM(Müllgebühren!Q3:Q12)/SUM(Müllgebühren!N3:N12),0)</f>
        <v/>
      </c>
      <c r="D7" s="33" t="n"/>
    </row>
    <row r="8">
      <c r="A8" s="20" t="inlineStr">
        <is>
          <t>Ø Mieteranteil €</t>
        </is>
      </c>
      <c r="B8" s="33" t="n"/>
      <c r="C8" s="42">
        <f>IFERROR(AVERAGE(Müllgebühren!Q3:Q12),0)</f>
        <v/>
      </c>
      <c r="D8" s="33" t="n"/>
    </row>
    <row r="9">
      <c r="A9" s="22" t="inlineStr">
        <is>
          <t>Anzahl offener Datensätze</t>
        </is>
      </c>
      <c r="B9" s="33" t="n"/>
      <c r="C9" s="24">
        <f>COUNTIF(Müllgebühren!T3:T12,"offen")</f>
        <v/>
      </c>
      <c r="D9" s="33" t="n"/>
    </row>
    <row r="10">
      <c r="A10" s="20" t="inlineStr">
        <is>
          <t>Anzahl geprüfter Datensätze</t>
        </is>
      </c>
      <c r="B10" s="33" t="n"/>
      <c r="C10" s="24">
        <f>COUNTIF(Müllgebühren!T3:T12,"geprüft")</f>
        <v/>
      </c>
      <c r="D10" s="33" t="n"/>
    </row>
    <row r="11">
      <c r="A11" s="22" t="inlineStr">
        <is>
          <t>Anzahl abgerechneter Datensätze</t>
        </is>
      </c>
      <c r="B11" s="33" t="n"/>
      <c r="C11" s="24">
        <f>COUNTIF(Müllgebühren!T3:T12,"abgerechnet")</f>
        <v/>
      </c>
      <c r="D11" s="33" t="n"/>
    </row>
    <row r="12"/>
    <row r="13">
      <c r="A13" s="25" t="inlineStr">
        <is>
          <t>Müllkosten je Objekt (€)</t>
        </is>
      </c>
      <c r="B13" s="32" t="n"/>
      <c r="C13" s="32" t="n"/>
      <c r="D13" s="32" t="n"/>
      <c r="E13" s="32" t="n"/>
      <c r="F13" s="32" t="n"/>
      <c r="G13" s="32" t="n"/>
      <c r="H13" s="32" t="n"/>
      <c r="I13" s="32" t="n"/>
      <c r="J13" s="32" t="n"/>
      <c r="K13" s="32" t="n"/>
      <c r="L13" s="32" t="n"/>
      <c r="M13" s="32" t="n"/>
      <c r="N13" s="33" t="n"/>
    </row>
    <row r="14">
      <c r="A14" s="26" t="inlineStr">
        <is>
          <t>Objekt</t>
        </is>
      </c>
      <c r="B14" s="26" t="inlineStr">
        <is>
          <t>Müllkosten €</t>
        </is>
      </c>
    </row>
    <row r="15">
      <c r="A15" s="27" t="inlineStr">
        <is>
          <t>OBJ-01</t>
        </is>
      </c>
      <c r="B15" s="44" t="n">
        <v>400</v>
      </c>
    </row>
    <row r="16">
      <c r="A16" s="27" t="inlineStr">
        <is>
          <t>OBJ-02</t>
        </is>
      </c>
      <c r="B16" s="44" t="n">
        <v>570</v>
      </c>
    </row>
    <row r="17">
      <c r="A17" s="27" t="inlineStr">
        <is>
          <t>OBJ-03</t>
        </is>
      </c>
      <c r="B17" s="44" t="n">
        <v>755</v>
      </c>
    </row>
    <row r="18">
      <c r="A18" s="27" t="inlineStr">
        <is>
          <t>OBJ-04</t>
        </is>
      </c>
      <c r="B18" s="44" t="n">
        <v>450</v>
      </c>
    </row>
    <row r="19">
      <c r="A19" s="27" t="inlineStr">
        <is>
          <t>OBJ-05</t>
        </is>
      </c>
      <c r="B19" s="44" t="n">
        <v>500</v>
      </c>
    </row>
    <row r="20">
      <c r="A20" s="27" t="inlineStr">
        <is>
          <t>OBJ-06</t>
        </is>
      </c>
      <c r="B20" s="44" t="n">
        <v>465</v>
      </c>
    </row>
    <row r="21">
      <c r="A21" s="27" t="inlineStr">
        <is>
          <t>OBJ-07</t>
        </is>
      </c>
      <c r="B21" s="44" t="n">
        <v>360</v>
      </c>
    </row>
    <row r="22"/>
    <row r="23">
      <c r="A23" s="25" t="inlineStr">
        <is>
          <t>Aufteilung der Müllarten (Gesamtübersicht €)</t>
        </is>
      </c>
      <c r="B23" s="32" t="n"/>
      <c r="C23" s="32" t="n"/>
      <c r="D23" s="32" t="n"/>
      <c r="E23" s="32" t="n"/>
      <c r="F23" s="32" t="n"/>
      <c r="G23" s="32" t="n"/>
      <c r="H23" s="32" t="n"/>
      <c r="I23" s="32" t="n"/>
      <c r="J23" s="32" t="n"/>
      <c r="K23" s="32" t="n"/>
      <c r="L23" s="32" t="n"/>
      <c r="M23" s="32" t="n"/>
      <c r="N23" s="33" t="n"/>
    </row>
    <row r="24">
      <c r="A24" s="26" t="inlineStr">
        <is>
          <t>Müllart</t>
        </is>
      </c>
      <c r="B24" s="26" t="inlineStr">
        <is>
          <t>Betrag €</t>
        </is>
      </c>
    </row>
    <row r="25">
      <c r="A25" s="27" t="inlineStr">
        <is>
          <t>Restmüll</t>
        </is>
      </c>
      <c r="B25" s="44" t="n">
        <v>2875</v>
      </c>
    </row>
    <row r="26">
      <c r="A26" s="27" t="inlineStr">
        <is>
          <t>Biomüll</t>
        </is>
      </c>
      <c r="B26" s="44" t="n">
        <v>980</v>
      </c>
    </row>
    <row r="27">
      <c r="A27" s="27" t="inlineStr">
        <is>
          <t>Papiermüll</t>
        </is>
      </c>
      <c r="B27" s="44" t="n">
        <v>710</v>
      </c>
    </row>
    <row r="28">
      <c r="A28" s="27" t="inlineStr">
        <is>
          <t>Sperrmüll</t>
        </is>
      </c>
      <c r="B28" s="44" t="n">
        <v>540</v>
      </c>
    </row>
    <row r="29">
      <c r="A29" s="27" t="inlineStr">
        <is>
          <t>Sonstige Entsorgung</t>
        </is>
      </c>
      <c r="B29" s="44" t="n">
        <v>120</v>
      </c>
    </row>
  </sheetData>
  <mergeCells count="21">
    <mergeCell ref="A1:N1"/>
    <mergeCell ref="A3:B3"/>
    <mergeCell ref="C3:D3"/>
    <mergeCell ref="A4:B4"/>
    <mergeCell ref="C4:D4"/>
    <mergeCell ref="A5:B5"/>
    <mergeCell ref="C5:D5"/>
    <mergeCell ref="A6:B6"/>
    <mergeCell ref="C6:D6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3:N13"/>
    <mergeCell ref="A23:N23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48"/>
  <sheetViews>
    <sheetView workbookViewId="0">
      <selection activeCell="A1" sqref="A1"/>
    </sheetView>
  </sheetViews>
  <sheetFormatPr baseColWidth="8" defaultRowHeight="15"/>
  <cols>
    <col width="2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</cols>
  <sheetData>
    <row r="1" ht="35" customHeight="1">
      <c r="A1" s="1" t="inlineStr">
        <is>
          <t>Hinweise &amp; Anleitung — Müllgebühren-Umlage auf Mieter</t>
        </is>
      </c>
      <c r="B1" s="32" t="n"/>
      <c r="C1" s="32" t="n"/>
      <c r="D1" s="32" t="n"/>
      <c r="E1" s="32" t="n"/>
      <c r="F1" s="32" t="n"/>
      <c r="G1" s="32" t="n"/>
      <c r="H1" s="33" t="n"/>
    </row>
    <row r="2"/>
    <row r="3" ht="16" customHeight="1">
      <c r="A3" s="29" t="inlineStr">
        <is>
          <t>RECHTLICHE GRUNDLAGEN</t>
        </is>
      </c>
      <c r="B3" s="32" t="n"/>
      <c r="C3" s="32" t="n"/>
      <c r="D3" s="32" t="n"/>
      <c r="E3" s="32" t="n"/>
      <c r="F3" s="32" t="n"/>
      <c r="G3" s="32" t="n"/>
      <c r="H3" s="33" t="n"/>
    </row>
    <row r="4" ht="16" customHeight="1">
      <c r="A4" s="13" t="inlineStr">
        <is>
          <t>Umlagefähige Müllgebühren nach BetrKV</t>
        </is>
      </c>
      <c r="B4" s="32" t="n"/>
      <c r="C4" s="32" t="n"/>
      <c r="D4" s="32" t="n"/>
      <c r="E4" s="32" t="n"/>
      <c r="F4" s="32" t="n"/>
      <c r="G4" s="32" t="n"/>
      <c r="H4" s="33" t="n"/>
    </row>
    <row r="5" ht="16" customHeight="1">
      <c r="A5" s="4" t="inlineStr">
        <is>
          <t>Gemäß § 2 Nr. 8 Betriebskostenverordnung (BetrKV) sind folgende Müllgebühren auf Mieter umlagefähig:</t>
        </is>
      </c>
      <c r="B5" s="32" t="n"/>
      <c r="C5" s="32" t="n"/>
      <c r="D5" s="32" t="n"/>
      <c r="E5" s="32" t="n"/>
      <c r="F5" s="32" t="n"/>
      <c r="G5" s="32" t="n"/>
      <c r="H5" s="33" t="n"/>
    </row>
    <row r="6" ht="16" customHeight="1">
      <c r="A6" s="13" t="inlineStr">
        <is>
          <t xml:space="preserve">  • Restmüll (regelmäßige Abholung durch kommunalen Entsorger)</t>
        </is>
      </c>
      <c r="B6" s="32" t="n"/>
      <c r="C6" s="32" t="n"/>
      <c r="D6" s="32" t="n"/>
      <c r="E6" s="32" t="n"/>
      <c r="F6" s="32" t="n"/>
      <c r="G6" s="32" t="n"/>
      <c r="H6" s="33" t="n"/>
    </row>
    <row r="7" ht="16" customHeight="1">
      <c r="A7" s="4" t="inlineStr">
        <is>
          <t xml:space="preserve">  • Biomüll (Biotonnen-Abholung, sofern vertraglich vereinbart)</t>
        </is>
      </c>
      <c r="B7" s="32" t="n"/>
      <c r="C7" s="32" t="n"/>
      <c r="D7" s="32" t="n"/>
      <c r="E7" s="32" t="n"/>
      <c r="F7" s="32" t="n"/>
      <c r="G7" s="32" t="n"/>
      <c r="H7" s="33" t="n"/>
    </row>
    <row r="8" ht="16" customHeight="1">
      <c r="A8" s="13" t="inlineStr">
        <is>
          <t xml:space="preserve">  • Papiermüll (Altpapierentsorgung durch den Versorger)</t>
        </is>
      </c>
      <c r="B8" s="32" t="n"/>
      <c r="C8" s="32" t="n"/>
      <c r="D8" s="32" t="n"/>
      <c r="E8" s="32" t="n"/>
      <c r="F8" s="32" t="n"/>
      <c r="G8" s="32" t="n"/>
      <c r="H8" s="33" t="n"/>
    </row>
    <row r="9" ht="16" customHeight="1">
      <c r="A9" s="4" t="inlineStr">
        <is>
          <t xml:space="preserve">  • Sperrmüll (NUR wenn regelmäßig und vertraglich geregelt)</t>
        </is>
      </c>
      <c r="B9" s="32" t="n"/>
      <c r="C9" s="32" t="n"/>
      <c r="D9" s="32" t="n"/>
      <c r="E9" s="32" t="n"/>
      <c r="F9" s="32" t="n"/>
      <c r="G9" s="32" t="n"/>
      <c r="H9" s="33" t="n"/>
    </row>
    <row r="10" ht="16" customHeight="1">
      <c r="A10" s="13" t="inlineStr">
        <is>
          <t xml:space="preserve">  NICHT umlagefähig: Sonderentsorgungen, einmalige Aktionen, Schadstoffmobil.</t>
        </is>
      </c>
      <c r="B10" s="32" t="n"/>
      <c r="C10" s="32" t="n"/>
      <c r="D10" s="32" t="n"/>
      <c r="E10" s="32" t="n"/>
      <c r="F10" s="32" t="n"/>
      <c r="G10" s="32" t="n"/>
      <c r="H10" s="33" t="n"/>
    </row>
    <row r="11" ht="16" customHeight="1">
      <c r="A11" s="4" t="inlineStr"/>
      <c r="B11" s="32" t="n"/>
      <c r="C11" s="32" t="n"/>
      <c r="D11" s="32" t="n"/>
      <c r="E11" s="32" t="n"/>
      <c r="F11" s="32" t="n"/>
      <c r="G11" s="32" t="n"/>
      <c r="H11" s="33" t="n"/>
    </row>
    <row r="12" ht="16" customHeight="1">
      <c r="A12" s="29" t="inlineStr">
        <is>
          <t>VERTEILERSCHLÜSSEL</t>
        </is>
      </c>
      <c r="B12" s="32" t="n"/>
      <c r="C12" s="32" t="n"/>
      <c r="D12" s="32" t="n"/>
      <c r="E12" s="32" t="n"/>
      <c r="F12" s="32" t="n"/>
      <c r="G12" s="32" t="n"/>
      <c r="H12" s="33" t="n"/>
    </row>
    <row r="13" ht="16" customHeight="1">
      <c r="A13" s="4" t="inlineStr">
        <is>
          <t>Wohnfläche:  Anteil = Wohnfläche der Einheit / Gesamtwohnfläche des Objekts</t>
        </is>
      </c>
      <c r="B13" s="32" t="n"/>
      <c r="C13" s="32" t="n"/>
      <c r="D13" s="32" t="n"/>
      <c r="E13" s="32" t="n"/>
      <c r="F13" s="32" t="n"/>
      <c r="G13" s="32" t="n"/>
      <c r="H13" s="33" t="n"/>
    </row>
    <row r="14" ht="16" customHeight="1">
      <c r="A14" s="13" t="inlineStr">
        <is>
          <t>Personen:    Anteil = Anzahl Personen in Einheit / Gesamtpersonenzahl im Objekt</t>
        </is>
      </c>
      <c r="B14" s="32" t="n"/>
      <c r="C14" s="32" t="n"/>
      <c r="D14" s="32" t="n"/>
      <c r="E14" s="32" t="n"/>
      <c r="F14" s="32" t="n"/>
      <c r="G14" s="32" t="n"/>
      <c r="H14" s="33" t="n"/>
    </row>
    <row r="15" ht="16" customHeight="1">
      <c r="A15" s="4" t="inlineStr">
        <is>
          <t>Einheit:     Anteil = 1 / Anzahl Wohneinheiten im Objekt (Kopfprinzip)</t>
        </is>
      </c>
      <c r="B15" s="32" t="n"/>
      <c r="C15" s="32" t="n"/>
      <c r="D15" s="32" t="n"/>
      <c r="E15" s="32" t="n"/>
      <c r="F15" s="32" t="n"/>
      <c r="G15" s="32" t="n"/>
      <c r="H15" s="33" t="n"/>
    </row>
    <row r="16" ht="16" customHeight="1">
      <c r="A16" s="13" t="inlineStr">
        <is>
          <t>Hinweis: Der Verteilerschlüssel muss im Mietvertrag vereinbart sein!</t>
        </is>
      </c>
      <c r="B16" s="32" t="n"/>
      <c r="C16" s="32" t="n"/>
      <c r="D16" s="32" t="n"/>
      <c r="E16" s="32" t="n"/>
      <c r="F16" s="32" t="n"/>
      <c r="G16" s="32" t="n"/>
      <c r="H16" s="33" t="n"/>
    </row>
    <row r="17" ht="16" customHeight="1">
      <c r="A17" s="4" t="inlineStr"/>
      <c r="B17" s="32" t="n"/>
      <c r="C17" s="32" t="n"/>
      <c r="D17" s="32" t="n"/>
      <c r="E17" s="32" t="n"/>
      <c r="F17" s="32" t="n"/>
      <c r="G17" s="32" t="n"/>
      <c r="H17" s="33" t="n"/>
    </row>
    <row r="18" ht="16" customHeight="1">
      <c r="A18" s="30" t="inlineStr">
        <is>
          <t>BLATT: MÜLLGEBÜHREN (Haupttabelle)</t>
        </is>
      </c>
      <c r="B18" s="32" t="n"/>
      <c r="C18" s="32" t="n"/>
      <c r="D18" s="32" t="n"/>
      <c r="E18" s="32" t="n"/>
      <c r="F18" s="32" t="n"/>
      <c r="G18" s="32" t="n"/>
      <c r="H18" s="33" t="n"/>
    </row>
    <row r="19" ht="16" customHeight="1">
      <c r="A19" s="4" t="inlineStr">
        <is>
          <t>Spalten A–D: Objektdaten und Mieterzuordnung (Pflichtfelder)</t>
        </is>
      </c>
      <c r="B19" s="32" t="n"/>
      <c r="C19" s="32" t="n"/>
      <c r="D19" s="32" t="n"/>
      <c r="E19" s="32" t="n"/>
      <c r="F19" s="32" t="n"/>
      <c r="G19" s="32" t="n"/>
      <c r="H19" s="33" t="n"/>
    </row>
    <row r="20" ht="16" customHeight="1">
      <c r="A20" s="13" t="inlineStr">
        <is>
          <t>Spalten E–F: Wohnfläche und Personenzahl — gelb = Eingabezellen (bitte ausfüllen)</t>
        </is>
      </c>
      <c r="B20" s="32" t="n"/>
      <c r="C20" s="32" t="n"/>
      <c r="D20" s="32" t="n"/>
      <c r="E20" s="32" t="n"/>
      <c r="F20" s="32" t="n"/>
      <c r="G20" s="32" t="n"/>
      <c r="H20" s="33" t="n"/>
    </row>
    <row r="21" ht="16" customHeight="1">
      <c r="A21" s="4" t="inlineStr">
        <is>
          <t>Spalten G–H: Abrechnungszeitraum (01.01.2026 – 31.12.2026)</t>
        </is>
      </c>
      <c r="B21" s="32" t="n"/>
      <c r="C21" s="32" t="n"/>
      <c r="D21" s="32" t="n"/>
      <c r="E21" s="32" t="n"/>
      <c r="F21" s="32" t="n"/>
      <c r="G21" s="32" t="n"/>
      <c r="H21" s="33" t="n"/>
    </row>
    <row r="22" ht="16" customHeight="1">
      <c r="A22" s="13" t="inlineStr">
        <is>
          <t>Spalten I–M: Müllkosten nach Art — gelb = Eingabezellen</t>
        </is>
      </c>
      <c r="B22" s="32" t="n"/>
      <c r="C22" s="32" t="n"/>
      <c r="D22" s="32" t="n"/>
      <c r="E22" s="32" t="n"/>
      <c r="F22" s="32" t="n"/>
      <c r="G22" s="32" t="n"/>
      <c r="H22" s="33" t="n"/>
    </row>
    <row r="23" ht="16" customHeight="1">
      <c r="A23" s="4" t="inlineStr">
        <is>
          <t>Spalte N:    Umlagefähige Müllgebühren gesamt (automatische Summenformel)</t>
        </is>
      </c>
      <c r="B23" s="32" t="n"/>
      <c r="C23" s="32" t="n"/>
      <c r="D23" s="32" t="n"/>
      <c r="E23" s="32" t="n"/>
      <c r="F23" s="32" t="n"/>
      <c r="G23" s="32" t="n"/>
      <c r="H23" s="33" t="n"/>
    </row>
    <row r="24" ht="16" customHeight="1">
      <c r="A24" s="13" t="inlineStr">
        <is>
          <t>Spalte O:    Verteilerschlüssel wählen: Wohnfläche / Personen / Einheit</t>
        </is>
      </c>
      <c r="B24" s="32" t="n"/>
      <c r="C24" s="32" t="n"/>
      <c r="D24" s="32" t="n"/>
      <c r="E24" s="32" t="n"/>
      <c r="F24" s="32" t="n"/>
      <c r="G24" s="32" t="n"/>
      <c r="H24" s="33" t="n"/>
    </row>
    <row r="25" ht="16" customHeight="1">
      <c r="A25" s="4" t="inlineStr">
        <is>
          <t>Spalte P:    Umlageanteil % — automatisch berechnet je nach Schlüssel</t>
        </is>
      </c>
      <c r="B25" s="32" t="n"/>
      <c r="C25" s="32" t="n"/>
      <c r="D25" s="32" t="n"/>
      <c r="E25" s="32" t="n"/>
      <c r="F25" s="32" t="n"/>
      <c r="G25" s="32" t="n"/>
      <c r="H25" s="33" t="n"/>
    </row>
    <row r="26" ht="16" customHeight="1">
      <c r="A26" s="13" t="inlineStr">
        <is>
          <t>Spalte Q:    Mieteranteil € = Umlagefähige Kosten × Umlageanteil %</t>
        </is>
      </c>
      <c r="B26" s="32" t="n"/>
      <c r="C26" s="32" t="n"/>
      <c r="D26" s="32" t="n"/>
      <c r="E26" s="32" t="n"/>
      <c r="F26" s="32" t="n"/>
      <c r="G26" s="32" t="n"/>
      <c r="H26" s="33" t="n"/>
    </row>
    <row r="27" ht="16" customHeight="1">
      <c r="A27" s="4" t="inlineStr">
        <is>
          <t>Spalte R:    Eigenanteil Vermieter € (nicht umlagefähige Sonderkosten)</t>
        </is>
      </c>
      <c r="B27" s="32" t="n"/>
      <c r="C27" s="32" t="n"/>
      <c r="D27" s="32" t="n"/>
      <c r="E27" s="32" t="n"/>
      <c r="F27" s="32" t="n"/>
      <c r="G27" s="32" t="n"/>
      <c r="H27" s="33" t="n"/>
    </row>
    <row r="28" ht="16" customHeight="1">
      <c r="A28" s="13" t="inlineStr">
        <is>
          <t>Spalte T:    Status: offen / geprüft / abgerechnet</t>
        </is>
      </c>
      <c r="B28" s="32" t="n"/>
      <c r="C28" s="32" t="n"/>
      <c r="D28" s="32" t="n"/>
      <c r="E28" s="32" t="n"/>
      <c r="F28" s="32" t="n"/>
      <c r="G28" s="32" t="n"/>
      <c r="H28" s="33" t="n"/>
    </row>
    <row r="29" ht="16" customHeight="1">
      <c r="A29" s="4" t="inlineStr"/>
      <c r="B29" s="32" t="n"/>
      <c r="C29" s="32" t="n"/>
      <c r="D29" s="32" t="n"/>
      <c r="E29" s="32" t="n"/>
      <c r="F29" s="32" t="n"/>
      <c r="G29" s="32" t="n"/>
      <c r="H29" s="33" t="n"/>
    </row>
    <row r="30" ht="16" customHeight="1">
      <c r="A30" s="30" t="inlineStr">
        <is>
          <t>BLATT: VERTEILUNG</t>
        </is>
      </c>
      <c r="B30" s="32" t="n"/>
      <c r="C30" s="32" t="n"/>
      <c r="D30" s="32" t="n"/>
      <c r="E30" s="32" t="n"/>
      <c r="F30" s="32" t="n"/>
      <c r="G30" s="32" t="n"/>
      <c r="H30" s="33" t="n"/>
    </row>
    <row r="31" ht="16" customHeight="1">
      <c r="A31" s="4" t="inlineStr">
        <is>
          <t>Dient der Plausibilitätsprüfung: Vergleich Mieteranteil (Haupttabelle) mit</t>
        </is>
      </c>
      <c r="B31" s="32" t="n"/>
      <c r="C31" s="32" t="n"/>
      <c r="D31" s="32" t="n"/>
      <c r="E31" s="32" t="n"/>
      <c r="F31" s="32" t="n"/>
      <c r="G31" s="32" t="n"/>
      <c r="H31" s="33" t="n"/>
    </row>
    <row r="32" ht="16" customHeight="1">
      <c r="A32" s="13" t="inlineStr">
        <is>
          <t>berechnetem Anteil aus Wohnfläche/Personen/Einheit. Abweichung &lt; 0,01 € = plausibel.</t>
        </is>
      </c>
      <c r="B32" s="32" t="n"/>
      <c r="C32" s="32" t="n"/>
      <c r="D32" s="32" t="n"/>
      <c r="E32" s="32" t="n"/>
      <c r="F32" s="32" t="n"/>
      <c r="G32" s="32" t="n"/>
      <c r="H32" s="33" t="n"/>
    </row>
    <row r="33" ht="16" customHeight="1">
      <c r="A33" s="4" t="inlineStr"/>
      <c r="B33" s="32" t="n"/>
      <c r="C33" s="32" t="n"/>
      <c r="D33" s="32" t="n"/>
      <c r="E33" s="32" t="n"/>
      <c r="F33" s="32" t="n"/>
      <c r="G33" s="32" t="n"/>
      <c r="H33" s="33" t="n"/>
    </row>
    <row r="34" ht="16" customHeight="1">
      <c r="A34" s="30" t="inlineStr">
        <is>
          <t>BLATT: DASHBOARD</t>
        </is>
      </c>
      <c r="B34" s="32" t="n"/>
      <c r="C34" s="32" t="n"/>
      <c r="D34" s="32" t="n"/>
      <c r="E34" s="32" t="n"/>
      <c r="F34" s="32" t="n"/>
      <c r="G34" s="32" t="n"/>
      <c r="H34" s="33" t="n"/>
    </row>
    <row r="35" ht="16" customHeight="1">
      <c r="A35" s="4" t="inlineStr">
        <is>
          <t>Übersicht aller Kennzahlen, Diagramme und Auswertungen auf einen Blick.</t>
        </is>
      </c>
      <c r="B35" s="32" t="n"/>
      <c r="C35" s="32" t="n"/>
      <c r="D35" s="32" t="n"/>
      <c r="E35" s="32" t="n"/>
      <c r="F35" s="32" t="n"/>
      <c r="G35" s="32" t="n"/>
      <c r="H35" s="33" t="n"/>
    </row>
    <row r="36" ht="16" customHeight="1">
      <c r="A36" s="13" t="inlineStr"/>
      <c r="B36" s="32" t="n"/>
      <c r="C36" s="32" t="n"/>
      <c r="D36" s="32" t="n"/>
      <c r="E36" s="32" t="n"/>
      <c r="F36" s="32" t="n"/>
      <c r="G36" s="32" t="n"/>
      <c r="H36" s="33" t="n"/>
    </row>
    <row r="37" ht="16" customHeight="1">
      <c r="A37" s="31" t="inlineStr">
        <is>
          <t>FARBHINWEISE</t>
        </is>
      </c>
      <c r="B37" s="32" t="n"/>
      <c r="C37" s="32" t="n"/>
      <c r="D37" s="32" t="n"/>
      <c r="E37" s="32" t="n"/>
      <c r="F37" s="32" t="n"/>
      <c r="G37" s="32" t="n"/>
      <c r="H37" s="33" t="n"/>
    </row>
    <row r="38" ht="16" customHeight="1">
      <c r="A38" s="13" t="inlineStr">
        <is>
          <t xml:space="preserve">  Gelbe Zellen (#FFFBEB):   Eingabezellen — hier Daten eintragen</t>
        </is>
      </c>
      <c r="B38" s="32" t="n"/>
      <c r="C38" s="32" t="n"/>
      <c r="D38" s="32" t="n"/>
      <c r="E38" s="32" t="n"/>
      <c r="F38" s="32" t="n"/>
      <c r="G38" s="32" t="n"/>
      <c r="H38" s="33" t="n"/>
    </row>
    <row r="39" ht="16" customHeight="1">
      <c r="A39" s="4" t="inlineStr">
        <is>
          <t xml:space="preserve">  Grüne Zellen (#DCFCE7):   Berechnete Werte — nicht manuell ändern</t>
        </is>
      </c>
      <c r="B39" s="32" t="n"/>
      <c r="C39" s="32" t="n"/>
      <c r="D39" s="32" t="n"/>
      <c r="E39" s="32" t="n"/>
      <c r="F39" s="32" t="n"/>
      <c r="G39" s="32" t="n"/>
      <c r="H39" s="33" t="n"/>
    </row>
    <row r="40" ht="16" customHeight="1">
      <c r="A40" s="13" t="inlineStr">
        <is>
          <t xml:space="preserve">  Rote Markierung:          Fehler oder fehlende Pflichtangaben</t>
        </is>
      </c>
      <c r="B40" s="32" t="n"/>
      <c r="C40" s="32" t="n"/>
      <c r="D40" s="32" t="n"/>
      <c r="E40" s="32" t="n"/>
      <c r="F40" s="32" t="n"/>
      <c r="G40" s="32" t="n"/>
      <c r="H40" s="33" t="n"/>
    </row>
    <row r="41" ht="16" customHeight="1">
      <c r="A41" s="4" t="inlineStr">
        <is>
          <t xml:space="preserve">  Dunkle Kopfzeilen:        Spaltenüberschriften (nicht editieren)</t>
        </is>
      </c>
      <c r="B41" s="32" t="n"/>
      <c r="C41" s="32" t="n"/>
      <c r="D41" s="32" t="n"/>
      <c r="E41" s="32" t="n"/>
      <c r="F41" s="32" t="n"/>
      <c r="G41" s="32" t="n"/>
      <c r="H41" s="33" t="n"/>
    </row>
    <row r="42" ht="16" customHeight="1">
      <c r="A42" s="13" t="inlineStr"/>
      <c r="B42" s="32" t="n"/>
      <c r="C42" s="32" t="n"/>
      <c r="D42" s="32" t="n"/>
      <c r="E42" s="32" t="n"/>
      <c r="F42" s="32" t="n"/>
      <c r="G42" s="32" t="n"/>
      <c r="H42" s="33" t="n"/>
    </row>
    <row r="43" ht="16" customHeight="1">
      <c r="A43" s="29" t="inlineStr">
        <is>
          <t>WICHTIGER HINWEIS</t>
        </is>
      </c>
      <c r="B43" s="32" t="n"/>
      <c r="C43" s="32" t="n"/>
      <c r="D43" s="32" t="n"/>
      <c r="E43" s="32" t="n"/>
      <c r="F43" s="32" t="n"/>
      <c r="G43" s="32" t="n"/>
      <c r="H43" s="33" t="n"/>
    </row>
    <row r="44" ht="16" customHeight="1">
      <c r="A44" s="13" t="inlineStr">
        <is>
          <t>Bitte stellen Sie sicher, dass der Verteilerschlüssel im Mietvertrag</t>
        </is>
      </c>
      <c r="B44" s="32" t="n"/>
      <c r="C44" s="32" t="n"/>
      <c r="D44" s="32" t="n"/>
      <c r="E44" s="32" t="n"/>
      <c r="F44" s="32" t="n"/>
      <c r="G44" s="32" t="n"/>
      <c r="H44" s="33" t="n"/>
    </row>
    <row r="45" ht="16" customHeight="1">
      <c r="A45" s="4" t="inlineStr">
        <is>
          <t>schriftlich vereinbart ist (§ 556a BGB). Ohne Vereinbarung gilt die Wohnfläche</t>
        </is>
      </c>
      <c r="B45" s="32" t="n"/>
      <c r="C45" s="32" t="n"/>
      <c r="D45" s="32" t="n"/>
      <c r="E45" s="32" t="n"/>
      <c r="F45" s="32" t="n"/>
      <c r="G45" s="32" t="n"/>
      <c r="H45" s="33" t="n"/>
    </row>
    <row r="46" ht="16" customHeight="1">
      <c r="A46" s="13" t="inlineStr">
        <is>
          <t>als gesetzlicher Standard. Die Betriebskostenabrechnung muss dem Mieter</t>
        </is>
      </c>
      <c r="B46" s="32" t="n"/>
      <c r="C46" s="32" t="n"/>
      <c r="D46" s="32" t="n"/>
      <c r="E46" s="32" t="n"/>
      <c r="F46" s="32" t="n"/>
      <c r="G46" s="32" t="n"/>
      <c r="H46" s="33" t="n"/>
    </row>
    <row r="47" ht="16" customHeight="1">
      <c r="A47" s="4" t="inlineStr">
        <is>
          <t>spätestens 12 Monate nach Ende des Abrechnungszeitraums zugestellt werden.</t>
        </is>
      </c>
      <c r="B47" s="32" t="n"/>
      <c r="C47" s="32" t="n"/>
      <c r="D47" s="32" t="n"/>
      <c r="E47" s="32" t="n"/>
      <c r="F47" s="32" t="n"/>
      <c r="G47" s="32" t="n"/>
      <c r="H47" s="33" t="n"/>
    </row>
    <row r="48" ht="16" customHeight="1">
      <c r="A48" s="13" t="inlineStr">
        <is>
          <t>Bei Fragen wenden Sie sich an einen Fachanwalt für Mietrecht.</t>
        </is>
      </c>
      <c r="B48" s="32" t="n"/>
      <c r="C48" s="32" t="n"/>
      <c r="D48" s="32" t="n"/>
      <c r="E48" s="32" t="n"/>
      <c r="F48" s="32" t="n"/>
      <c r="G48" s="32" t="n"/>
      <c r="H48" s="33" t="n"/>
    </row>
  </sheetData>
  <mergeCells count="47">
    <mergeCell ref="A1:H1"/>
    <mergeCell ref="A3:H3"/>
    <mergeCell ref="A4:H4"/>
    <mergeCell ref="A5:H5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47:H47"/>
    <mergeCell ref="A48:H4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2026-06-19T12:26:24Z</dcterms:created>
  <dcterms:modified xmlns:dcterms="http://purl.org/dc/terms/" xmlns:xsi="http://www.w3.org/2001/XMLSchema-instance" xsi:type="dcterms:W3CDTF">2026-06-19T12:26:24Z</dcterms:modified>
</cp:coreProperties>
</file>