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ängelübersicht" sheetId="1" state="visible" r:id="rId1"/>
    <sheet xmlns:r="http://schemas.openxmlformats.org/officeDocument/2006/relationships" name="Mietminderungsrechne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 &amp; Regel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\ &quot;€&quot;"/>
    <numFmt numFmtId="166" formatCode="0&quot;%&quot;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1"/>
    </font>
    <font>
      <name val="Calibri"/>
      <b val="1"/>
      <color rgb="000F766E"/>
      <sz val="16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4" borderId="1" pivotButton="0" quotePrefix="0" xfId="0"/>
    <xf numFmtId="164" fontId="0" fillId="4" borderId="1" pivotButton="0" quotePrefix="0" xfId="0"/>
    <xf numFmtId="1" fontId="0" fillId="3" borderId="1" pivotButton="0" quotePrefix="0" xfId="0"/>
    <xf numFmtId="165" fontId="0" fillId="4" borderId="1" pivotButton="0" quotePrefix="0" xfId="0"/>
    <xf numFmtId="165" fontId="0" fillId="3" borderId="1" pivotButton="0" quotePrefix="0" xfId="0"/>
    <xf numFmtId="166" fontId="0" fillId="4" borderId="1" pivotButton="0" quotePrefix="0" xfId="0"/>
    <xf numFmtId="166" fontId="0" fillId="3" borderId="1" pivotButton="0" quotePrefix="0" xfId="0"/>
    <xf numFmtId="0" fontId="0" fillId="5" borderId="1" pivotButton="0" quotePrefix="0" xfId="0"/>
    <xf numFmtId="1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1" fillId="6" borderId="1" pivotButton="0" quotePrefix="0" xfId="0"/>
    <xf numFmtId="165" fontId="2" fillId="3" borderId="1" pivotButton="0" quotePrefix="0" xfId="0"/>
    <xf numFmtId="166" fontId="2" fillId="3" borderId="1" pivotButton="0" quotePrefix="0" xfId="0"/>
    <xf numFmtId="1" fontId="2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1" fillId="6" borderId="1" applyAlignment="1" pivotButton="0" quotePrefix="0" xfId="0">
      <alignment horizontal="center" vertical="center" wrapText="1"/>
    </xf>
    <xf numFmtId="0" fontId="1" fillId="6" borderId="0" pivotButton="0" quotePrefix="0" xfId="0"/>
    <xf numFmtId="0" fontId="4" fillId="3" borderId="1" pivotButton="0" quotePrefix="0" xfId="0"/>
    <xf numFmtId="0" fontId="4" fillId="5" borderId="1" pivotButton="0" quotePrefix="0" xfId="0"/>
    <xf numFmtId="1" fontId="2" fillId="5" borderId="1" pivotButton="0" quotePrefix="0" xfId="0"/>
    <xf numFmtId="166" fontId="2" fillId="5" borderId="1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164" fontId="0" fillId="4" borderId="1" pivotButton="0" quotePrefix="0" xfId="0"/>
    <xf numFmtId="165" fontId="0" fillId="4" borderId="1" pivotButton="0" quotePrefix="0" xfId="0"/>
    <xf numFmtId="165" fontId="0" fillId="3" borderId="1" pivotButton="0" quotePrefix="0" xfId="0"/>
    <xf numFmtId="166" fontId="0" fillId="4" borderId="1" pivotButton="0" quotePrefix="0" xfId="0"/>
    <xf numFmtId="166" fontId="0" fillId="3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2" fillId="3" borderId="1" pivotButton="0" quotePrefix="0" xfId="0"/>
    <xf numFmtId="166" fontId="2" fillId="3" borderId="1" pivotButton="0" quotePrefix="0" xfId="0"/>
    <xf numFmtId="166" fontId="2" fillId="5" borderId="1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Minderungsbetrag je Fall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'Mängelübersicht'!Q1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'Mängelübersicht'!$A$2:$A$11</f>
            </numRef>
          </cat>
          <val>
            <numRef>
              <f>'Mängelübersicht'!$Q$2:$Q$11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Fall-ID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'Dashboard'!I17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'Dashboard'!$H$18:$H$20</f>
            </numRef>
          </cat>
          <val>
            <numRef>
              <f>'Dashboard'!$I$18:$I$20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Häufigkeit der Mangelarten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'Dashboard'!$D$18:$D$27</f>
            </numRef>
          </cat>
          <val>
            <numRef>
              <f>'Dashboard'!$E$18:$E$27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47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6" customWidth="1" min="3" max="3"/>
    <col width="18" customWidth="1" min="4" max="4"/>
    <col width="14" customWidth="1" min="5" max="5"/>
    <col width="13" customWidth="1" min="6" max="6"/>
    <col width="30" customWidth="1" min="7" max="7"/>
    <col width="20" customWidth="1" min="8" max="8"/>
    <col width="16" customWidth="1" min="9" max="9"/>
    <col width="15" customWidth="1" min="10" max="10"/>
    <col width="15" customWidth="1" min="11" max="11"/>
    <col width="12" customWidth="1" min="12" max="12"/>
    <col width="13" customWidth="1" min="13" max="13"/>
    <col width="15" customWidth="1" min="14" max="14"/>
    <col width="14" customWidth="1" min="15" max="15"/>
    <col width="16" customWidth="1" min="16" max="16"/>
    <col width="15" customWidth="1" min="17" max="17"/>
    <col width="16" customWidth="1" min="18" max="18"/>
    <col width="13" customWidth="1" min="19" max="19"/>
    <col width="26" customWidth="1" min="20" max="20"/>
  </cols>
  <sheetData>
    <row r="1">
      <c r="A1" s="1" t="inlineStr">
        <is>
          <t>Fall-ID</t>
        </is>
      </c>
      <c r="B1" s="1" t="inlineStr">
        <is>
          <t>Objektadresse</t>
        </is>
      </c>
      <c r="C1" s="1" t="inlineStr">
        <is>
          <t>Stadt</t>
        </is>
      </c>
      <c r="D1" s="1" t="inlineStr">
        <is>
          <t>Mieter/in</t>
        </is>
      </c>
      <c r="E1" s="1" t="inlineStr">
        <is>
          <t>Wohnungsnummer</t>
        </is>
      </c>
      <c r="F1" s="1" t="inlineStr">
        <is>
          <t>Meldedatum</t>
        </is>
      </c>
      <c r="G1" s="1" t="inlineStr">
        <is>
          <t>Mangelbeschreibung</t>
        </is>
      </c>
      <c r="H1" s="1" t="inlineStr">
        <is>
          <t>Mangelart</t>
        </is>
      </c>
      <c r="I1" s="1" t="inlineStr">
        <is>
          <t>Bereich</t>
        </is>
      </c>
      <c r="J1" s="1" t="inlineStr">
        <is>
          <t>Beginn der Beeinträchtigung</t>
        </is>
      </c>
      <c r="K1" s="1" t="inlineStr">
        <is>
          <t>Ende der Beeinträchtigung</t>
        </is>
      </c>
      <c r="L1" s="1" t="inlineStr">
        <is>
          <t>Tage beeinträchtigt</t>
        </is>
      </c>
      <c r="M1" s="1" t="inlineStr">
        <is>
          <t>Miete kalt p. M.</t>
        </is>
      </c>
      <c r="N1" s="1" t="inlineStr">
        <is>
          <t>Betriebskosten p. M.</t>
        </is>
      </c>
      <c r="O1" s="1" t="inlineStr">
        <is>
          <t>Warmmiete p. M.</t>
        </is>
      </c>
      <c r="P1" s="1" t="inlineStr">
        <is>
          <t>Geschätzte Minderungsquote %</t>
        </is>
      </c>
      <c r="Q1" s="1" t="inlineStr">
        <is>
          <t>Minderungsbetrag €</t>
        </is>
      </c>
      <c r="R1" s="1" t="inlineStr">
        <is>
          <t>Rechts-/Hinweisspanne %</t>
        </is>
      </c>
      <c r="S1" s="1" t="inlineStr">
        <is>
          <t>Status</t>
        </is>
      </c>
      <c r="T1" s="1" t="inlineStr">
        <is>
          <t>Bemerkung</t>
        </is>
      </c>
    </row>
    <row r="2">
      <c r="A2" s="2" t="inlineStr">
        <is>
          <t>MM-2026-001</t>
        </is>
      </c>
      <c r="B2" s="3" t="inlineStr">
        <is>
          <t>Hauptstraße 12</t>
        </is>
      </c>
      <c r="C2" s="3" t="inlineStr">
        <is>
          <t>Berlin</t>
        </is>
      </c>
      <c r="D2" s="3" t="inlineStr">
        <is>
          <t>Thomas Becker</t>
        </is>
      </c>
      <c r="E2" s="3" t="inlineStr">
        <is>
          <t>Whg 3</t>
        </is>
      </c>
      <c r="F2" s="28" t="n">
        <v>46027</v>
      </c>
      <c r="G2" s="3" t="inlineStr">
        <is>
          <t>Heizung fällt seit Tagen aus, keine Warmwasserversorgung</t>
        </is>
      </c>
      <c r="H2" s="3" t="inlineStr">
        <is>
          <t>Heizungsausfall</t>
        </is>
      </c>
      <c r="I2" s="3" t="inlineStr">
        <is>
          <t>Heizung</t>
        </is>
      </c>
      <c r="J2" s="28" t="n">
        <v>46025</v>
      </c>
      <c r="K2" s="28" t="n">
        <v>46042</v>
      </c>
      <c r="L2" s="5">
        <f>IF(OR(J2="",K2=""),"",K2-J2+1)</f>
        <v/>
      </c>
      <c r="M2" s="29" t="n">
        <v>850</v>
      </c>
      <c r="N2" s="29" t="n">
        <v>180</v>
      </c>
      <c r="O2" s="30">
        <f>M2+N2</f>
        <v/>
      </c>
      <c r="P2" s="31" t="n">
        <v>20</v>
      </c>
      <c r="Q2" s="30">
        <f>IFERROR(O2*P2/100,0)</f>
        <v/>
      </c>
      <c r="R2" s="32">
        <f>IFERROR(VLOOKUP(H2,Dashboard!A:B,2,FALSE),"")</f>
        <v/>
      </c>
      <c r="S2" s="2">
        <f>IF(AND(J2&lt;&gt;"",K2=""),"Offen",IF(K2&lt;TODAY(),"Abgeschlossen","Laufend"))</f>
        <v/>
      </c>
      <c r="T2" s="3" t="inlineStr">
        <is>
          <t>Fotos vorhanden, Handwerker beauftragt</t>
        </is>
      </c>
    </row>
    <row r="3">
      <c r="A3" s="10" t="inlineStr">
        <is>
          <t>MM-2026-002</t>
        </is>
      </c>
      <c r="B3" s="3" t="inlineStr">
        <is>
          <t>Lindenallee 7</t>
        </is>
      </c>
      <c r="C3" s="3" t="inlineStr">
        <is>
          <t>München</t>
        </is>
      </c>
      <c r="D3" s="3" t="inlineStr">
        <is>
          <t>Sabine Müller</t>
        </is>
      </c>
      <c r="E3" s="3" t="inlineStr">
        <is>
          <t>Whg 5</t>
        </is>
      </c>
      <c r="F3" s="28" t="n">
        <v>46065</v>
      </c>
      <c r="G3" s="3" t="inlineStr">
        <is>
          <t>Sichtbarer Schimmel im Schlafzimmer</t>
        </is>
      </c>
      <c r="H3" s="3" t="inlineStr">
        <is>
          <t>Schimmelbildung</t>
        </is>
      </c>
      <c r="I3" s="3" t="inlineStr">
        <is>
          <t>Schlafzimmer</t>
        </is>
      </c>
      <c r="J3" s="28" t="n">
        <v>46063</v>
      </c>
      <c r="K3" s="28" t="n"/>
      <c r="L3" s="11">
        <f>IF(OR(J3="",K3=""),"",K3-J3+1)</f>
        <v/>
      </c>
      <c r="M3" s="29" t="n">
        <v>1200</v>
      </c>
      <c r="N3" s="29" t="n">
        <v>250</v>
      </c>
      <c r="O3" s="33">
        <f>M3+N3</f>
        <v/>
      </c>
      <c r="P3" s="31" t="n">
        <v>15</v>
      </c>
      <c r="Q3" s="33">
        <f>IFERROR(O3*P3/100,0)</f>
        <v/>
      </c>
      <c r="R3" s="34">
        <f>IFERROR(VLOOKUP(H3,Dashboard!A:B,2,FALSE),"")</f>
        <v/>
      </c>
      <c r="S3" s="10">
        <f>IF(AND(J3&lt;&gt;"",K3=""),"Offen",IF(K3&lt;TODAY(),"Abgeschlossen","Laufend"))</f>
        <v/>
      </c>
      <c r="T3" s="3" t="inlineStr">
        <is>
          <t>Mängelanzeige per Einschreiben</t>
        </is>
      </c>
    </row>
    <row r="4">
      <c r="A4" s="2" t="inlineStr">
        <is>
          <t>MM-2026-003</t>
        </is>
      </c>
      <c r="B4" s="3" t="inlineStr">
        <is>
          <t>Goethestraße 45</t>
        </is>
      </c>
      <c r="C4" s="3" t="inlineStr">
        <is>
          <t>Hamburg</t>
        </is>
      </c>
      <c r="D4" s="3" t="inlineStr">
        <is>
          <t>Andreas Schneider</t>
        </is>
      </c>
      <c r="E4" s="3" t="inlineStr">
        <is>
          <t>Whg 2</t>
        </is>
      </c>
      <c r="F4" s="28" t="n">
        <v>46082</v>
      </c>
      <c r="G4" s="3" t="inlineStr">
        <is>
          <t>Rohrbruch verursacht Wasserschaden im Flur</t>
        </is>
      </c>
      <c r="H4" s="3" t="inlineStr">
        <is>
          <t>Wasserschaden</t>
        </is>
      </c>
      <c r="I4" s="3" t="inlineStr">
        <is>
          <t>Flur</t>
        </is>
      </c>
      <c r="J4" s="28" t="n">
        <v>46081</v>
      </c>
      <c r="K4" s="28" t="n">
        <v>46096</v>
      </c>
      <c r="L4" s="5">
        <f>IF(OR(J4="",K4=""),"",K4-J4+1)</f>
        <v/>
      </c>
      <c r="M4" s="29" t="n">
        <v>950</v>
      </c>
      <c r="N4" s="29" t="n">
        <v>200</v>
      </c>
      <c r="O4" s="30">
        <f>M4+N4</f>
        <v/>
      </c>
      <c r="P4" s="31" t="n">
        <v>30</v>
      </c>
      <c r="Q4" s="30">
        <f>IFERROR(O4*P4/100,0)</f>
        <v/>
      </c>
      <c r="R4" s="32">
        <f>IFERROR(VLOOKUP(H4,Dashboard!A:B,2,FALSE),"")</f>
        <v/>
      </c>
      <c r="S4" s="2">
        <f>IF(AND(J4&lt;&gt;"",K4=""),"Offen",IF(K4&lt;TODAY(),"Abgeschlossen","Laufend"))</f>
        <v/>
      </c>
      <c r="T4" s="3" t="inlineStr">
        <is>
          <t>Gutachten liegt vor</t>
        </is>
      </c>
    </row>
    <row r="5">
      <c r="A5" s="10" t="inlineStr">
        <is>
          <t>MM-2026-004</t>
        </is>
      </c>
      <c r="B5" s="3" t="inlineStr">
        <is>
          <t>Bahnhofstraße 18</t>
        </is>
      </c>
      <c r="C5" s="3" t="inlineStr">
        <is>
          <t>Köln</t>
        </is>
      </c>
      <c r="D5" s="3" t="inlineStr">
        <is>
          <t>Petra Wagner</t>
        </is>
      </c>
      <c r="E5" s="3" t="inlineStr">
        <is>
          <t>Whg 8</t>
        </is>
      </c>
      <c r="F5" s="28" t="n">
        <v>46101</v>
      </c>
      <c r="G5" s="3" t="inlineStr">
        <is>
          <t>Dauerhafte Lärmbelästigung durch Bauarbeiten</t>
        </is>
      </c>
      <c r="H5" s="3" t="inlineStr">
        <is>
          <t>Lärmbelästigung</t>
        </is>
      </c>
      <c r="I5" s="3" t="inlineStr">
        <is>
          <t>Gebäude</t>
        </is>
      </c>
      <c r="J5" s="28" t="n">
        <v>46096</v>
      </c>
      <c r="K5" s="28" t="n">
        <v>46234</v>
      </c>
      <c r="L5" s="11">
        <f>IF(OR(J5="",K5=""),"",K5-J5+1)</f>
        <v/>
      </c>
      <c r="M5" s="29" t="n">
        <v>780</v>
      </c>
      <c r="N5" s="29" t="n">
        <v>150</v>
      </c>
      <c r="O5" s="33">
        <f>M5+N5</f>
        <v/>
      </c>
      <c r="P5" s="31" t="n">
        <v>10</v>
      </c>
      <c r="Q5" s="33">
        <f>IFERROR(O5*P5/100,0)</f>
        <v/>
      </c>
      <c r="R5" s="34">
        <f>IFERROR(VLOOKUP(H5,Dashboard!A:B,2,FALSE),"")</f>
        <v/>
      </c>
      <c r="S5" s="10">
        <f>IF(AND(J5&lt;&gt;"",K5=""),"Offen",IF(K5&lt;TODAY(),"Abgeschlossen","Laufend"))</f>
        <v/>
      </c>
      <c r="T5" s="3" t="inlineStr">
        <is>
          <t>Protokoll der Bauzeiten geführt</t>
        </is>
      </c>
    </row>
    <row r="6">
      <c r="A6" s="2" t="inlineStr">
        <is>
          <t>MM-2026-005</t>
        </is>
      </c>
      <c r="B6" s="3" t="inlineStr">
        <is>
          <t>Gartenweg 3</t>
        </is>
      </c>
      <c r="C6" s="3" t="inlineStr">
        <is>
          <t>Frankfurt am Main</t>
        </is>
      </c>
      <c r="D6" s="3" t="inlineStr">
        <is>
          <t>Michael Hoffmann</t>
        </is>
      </c>
      <c r="E6" s="3" t="inlineStr">
        <is>
          <t>Whg 12</t>
        </is>
      </c>
      <c r="F6" s="28" t="n">
        <v>46114</v>
      </c>
      <c r="G6" s="3" t="inlineStr">
        <is>
          <t>Aufzug seit Wochen außer Betrieb</t>
        </is>
      </c>
      <c r="H6" s="3" t="inlineStr">
        <is>
          <t>Aufzug defekt</t>
        </is>
      </c>
      <c r="I6" s="3" t="inlineStr">
        <is>
          <t>Treppenhaus</t>
        </is>
      </c>
      <c r="J6" s="28" t="n">
        <v>46113</v>
      </c>
      <c r="K6" s="28" t="n"/>
      <c r="L6" s="5">
        <f>IF(OR(J6="",K6=""),"",K6-J6+1)</f>
        <v/>
      </c>
      <c r="M6" s="29" t="n">
        <v>1100</v>
      </c>
      <c r="N6" s="29" t="n">
        <v>220</v>
      </c>
      <c r="O6" s="30">
        <f>M6+N6</f>
        <v/>
      </c>
      <c r="P6" s="31" t="n">
        <v>8</v>
      </c>
      <c r="Q6" s="30">
        <f>IFERROR(O6*P6/100,0)</f>
        <v/>
      </c>
      <c r="R6" s="32">
        <f>IFERROR(VLOOKUP(H6,Dashboard!A:B,2,FALSE),"")</f>
        <v/>
      </c>
      <c r="S6" s="2">
        <f>IF(AND(J6&lt;&gt;"",K6=""),"Offen",IF(K6&lt;TODAY(),"Abgeschlossen","Laufend"))</f>
        <v/>
      </c>
      <c r="T6" s="3" t="inlineStr">
        <is>
          <t>WEG informiert, Reparatur ausstehend</t>
        </is>
      </c>
    </row>
    <row r="7">
      <c r="A7" s="10" t="inlineStr">
        <is>
          <t>MM-2026-006</t>
        </is>
      </c>
      <c r="B7" s="3" t="inlineStr">
        <is>
          <t>Schillerstraße 22</t>
        </is>
      </c>
      <c r="C7" s="3" t="inlineStr">
        <is>
          <t>Stuttgart</t>
        </is>
      </c>
      <c r="D7" s="3" t="inlineStr">
        <is>
          <t>Julia Richter</t>
        </is>
      </c>
      <c r="E7" s="3" t="inlineStr">
        <is>
          <t>Whg 4</t>
        </is>
      </c>
      <c r="F7" s="28" t="n">
        <v>46122</v>
      </c>
      <c r="G7" s="3" t="inlineStr">
        <is>
          <t>Wiederholte Stromausfälle in der gesamten Wohnung</t>
        </is>
      </c>
      <c r="H7" s="3" t="inlineStr">
        <is>
          <t>Elektrikstörung</t>
        </is>
      </c>
      <c r="I7" s="3" t="inlineStr">
        <is>
          <t>Elektrik</t>
        </is>
      </c>
      <c r="J7" s="28" t="n">
        <v>46120</v>
      </c>
      <c r="K7" s="28" t="n">
        <v>46137</v>
      </c>
      <c r="L7" s="11">
        <f>IF(OR(J7="",K7=""),"",K7-J7+1)</f>
        <v/>
      </c>
      <c r="M7" s="29" t="n">
        <v>890</v>
      </c>
      <c r="N7" s="29" t="n">
        <v>190</v>
      </c>
      <c r="O7" s="33">
        <f>M7+N7</f>
        <v/>
      </c>
      <c r="P7" s="31" t="n">
        <v>12</v>
      </c>
      <c r="Q7" s="33">
        <f>IFERROR(O7*P7/100,0)</f>
        <v/>
      </c>
      <c r="R7" s="34">
        <f>IFERROR(VLOOKUP(H7,Dashboard!A:B,2,FALSE),"")</f>
        <v/>
      </c>
      <c r="S7" s="10">
        <f>IF(AND(J7&lt;&gt;"",K7=""),"Offen",IF(K7&lt;TODAY(),"Abgeschlossen","Laufend"))</f>
        <v/>
      </c>
      <c r="T7" s="3" t="inlineStr">
        <is>
          <t>Elektriker hat Mangel bestätigt</t>
        </is>
      </c>
    </row>
    <row r="8">
      <c r="A8" s="2" t="inlineStr">
        <is>
          <t>MM-2026-007</t>
        </is>
      </c>
      <c r="B8" s="3" t="inlineStr">
        <is>
          <t>Allee 9</t>
        </is>
      </c>
      <c r="C8" s="3" t="inlineStr">
        <is>
          <t>Düsseldorf</t>
        </is>
      </c>
      <c r="D8" s="3" t="inlineStr">
        <is>
          <t>Stefan Weber</t>
        </is>
      </c>
      <c r="E8" s="3" t="inlineStr">
        <is>
          <t>Whg 6</t>
        </is>
      </c>
      <c r="F8" s="28" t="n">
        <v>46147</v>
      </c>
      <c r="G8" s="3" t="inlineStr">
        <is>
          <t>Fenster schließen nicht richtig, starke Zugluft</t>
        </is>
      </c>
      <c r="H8" s="3" t="inlineStr">
        <is>
          <t>Fenster undicht</t>
        </is>
      </c>
      <c r="I8" s="3" t="inlineStr">
        <is>
          <t>Wohnzimmer</t>
        </is>
      </c>
      <c r="J8" s="28" t="n">
        <v>46143</v>
      </c>
      <c r="K8" s="28" t="n">
        <v>46173</v>
      </c>
      <c r="L8" s="5">
        <f>IF(OR(J8="",K8=""),"",K8-J8+1)</f>
        <v/>
      </c>
      <c r="M8" s="29" t="n">
        <v>1050</v>
      </c>
      <c r="N8" s="29" t="n">
        <v>210</v>
      </c>
      <c r="O8" s="30">
        <f>M8+N8</f>
        <v/>
      </c>
      <c r="P8" s="31" t="n">
        <v>7</v>
      </c>
      <c r="Q8" s="30">
        <f>IFERROR(O8*P8/100,0)</f>
        <v/>
      </c>
      <c r="R8" s="32">
        <f>IFERROR(VLOOKUP(H8,Dashboard!A:B,2,FALSE),"")</f>
        <v/>
      </c>
      <c r="S8" s="2">
        <f>IF(AND(J8&lt;&gt;"",K8=""),"Offen",IF(K8&lt;TODAY(),"Abgeschlossen","Laufend"))</f>
        <v/>
      </c>
      <c r="T8" s="3" t="inlineStr">
        <is>
          <t>Fotodokumentation erstellt</t>
        </is>
      </c>
    </row>
    <row r="9">
      <c r="A9" s="10" t="inlineStr">
        <is>
          <t>MM-2026-008</t>
        </is>
      </c>
      <c r="B9" s="3" t="inlineStr">
        <is>
          <t>Parkstraße 14</t>
        </is>
      </c>
      <c r="C9" s="3" t="inlineStr">
        <is>
          <t>Leipzig</t>
        </is>
      </c>
      <c r="D9" s="3" t="inlineStr">
        <is>
          <t>Claudia Fischer</t>
        </is>
      </c>
      <c r="E9" s="3" t="inlineStr">
        <is>
          <t>Whg 9</t>
        </is>
      </c>
      <c r="F9" s="28" t="n">
        <v>46157</v>
      </c>
      <c r="G9" s="3" t="inlineStr">
        <is>
          <t>Balkon wegen Einsturzgefahr gesperrt</t>
        </is>
      </c>
      <c r="H9" s="3" t="inlineStr">
        <is>
          <t>Balkon gesperrt</t>
        </is>
      </c>
      <c r="I9" s="3" t="inlineStr">
        <is>
          <t>Balkon</t>
        </is>
      </c>
      <c r="J9" s="28" t="n">
        <v>46154</v>
      </c>
      <c r="K9" s="28" t="n">
        <v>46295</v>
      </c>
      <c r="L9" s="11">
        <f>IF(OR(J9="",K9=""),"",K9-J9+1)</f>
        <v/>
      </c>
      <c r="M9" s="29" t="n">
        <v>700</v>
      </c>
      <c r="N9" s="29" t="n">
        <v>130</v>
      </c>
      <c r="O9" s="33">
        <f>M9+N9</f>
        <v/>
      </c>
      <c r="P9" s="31" t="n">
        <v>5</v>
      </c>
      <c r="Q9" s="33">
        <f>IFERROR(O9*P9/100,0)</f>
        <v/>
      </c>
      <c r="R9" s="34">
        <f>IFERROR(VLOOKUP(H9,Dashboard!A:B,2,FALSE),"")</f>
        <v/>
      </c>
      <c r="S9" s="10">
        <f>IF(AND(J9&lt;&gt;"",K9=""),"Offen",IF(K9&lt;TODAY(),"Abgeschlossen","Laufend"))</f>
        <v/>
      </c>
      <c r="T9" s="3" t="inlineStr">
        <is>
          <t>Statiker beauftragt</t>
        </is>
      </c>
    </row>
    <row r="10">
      <c r="A10" s="2" t="inlineStr">
        <is>
          <t>MM-2026-009</t>
        </is>
      </c>
      <c r="B10" s="3" t="inlineStr">
        <is>
          <t>Ringstraße 31</t>
        </is>
      </c>
      <c r="C10" s="3" t="inlineStr">
        <is>
          <t>Dresden</t>
        </is>
      </c>
      <c r="D10" s="3" t="inlineStr">
        <is>
          <t>Markus Bauer</t>
        </is>
      </c>
      <c r="E10" s="3" t="inlineStr">
        <is>
          <t>Whg 1</t>
        </is>
      </c>
      <c r="F10" s="28" t="n">
        <v>46174</v>
      </c>
      <c r="G10" s="3" t="inlineStr">
        <is>
          <t>Kein Warmwasser seit mehreren Tagen</t>
        </is>
      </c>
      <c r="H10" s="3" t="inlineStr">
        <is>
          <t>Warmwasserprobleme</t>
        </is>
      </c>
      <c r="I10" s="3" t="inlineStr">
        <is>
          <t>Bad</t>
        </is>
      </c>
      <c r="J10" s="28" t="n">
        <v>46170</v>
      </c>
      <c r="K10" s="28" t="n">
        <v>46183</v>
      </c>
      <c r="L10" s="5">
        <f>IF(OR(J10="",K10=""),"",K10-J10+1)</f>
        <v/>
      </c>
      <c r="M10" s="29" t="n">
        <v>820</v>
      </c>
      <c r="N10" s="29" t="n">
        <v>160</v>
      </c>
      <c r="O10" s="30">
        <f>M10+N10</f>
        <v/>
      </c>
      <c r="P10" s="31" t="n">
        <v>25</v>
      </c>
      <c r="Q10" s="30">
        <f>IFERROR(O10*P10/100,0)</f>
        <v/>
      </c>
      <c r="R10" s="32">
        <f>IFERROR(VLOOKUP(H10,Dashboard!A:B,2,FALSE),"")</f>
        <v/>
      </c>
      <c r="S10" s="2">
        <f>IF(AND(J10&lt;&gt;"",K10=""),"Offen",IF(K10&lt;TODAY(),"Abgeschlossen","Laufend"))</f>
        <v/>
      </c>
      <c r="T10" s="3" t="inlineStr">
        <is>
          <t>Hausverwaltung schriftlich informiert</t>
        </is>
      </c>
    </row>
    <row r="11">
      <c r="A11" s="10" t="inlineStr">
        <is>
          <t>MM-2026-010</t>
        </is>
      </c>
      <c r="B11" s="3" t="inlineStr">
        <is>
          <t>Bergstraße 5</t>
        </is>
      </c>
      <c r="C11" s="3" t="inlineStr">
        <is>
          <t>Hannover</t>
        </is>
      </c>
      <c r="D11" s="3" t="inlineStr">
        <is>
          <t>Nicole Schulz</t>
        </is>
      </c>
      <c r="E11" s="3" t="inlineStr">
        <is>
          <t>Whg 7</t>
        </is>
      </c>
      <c r="F11" s="28" t="n">
        <v>46183</v>
      </c>
      <c r="G11" s="3" t="inlineStr">
        <is>
          <t>Starke Feuchtigkeit und Schimmelgeruch im Keller</t>
        </is>
      </c>
      <c r="H11" s="3" t="inlineStr">
        <is>
          <t>Feuchtigkeit im Keller</t>
        </is>
      </c>
      <c r="I11" s="3" t="inlineStr">
        <is>
          <t>Keller</t>
        </is>
      </c>
      <c r="J11" s="28" t="n">
        <v>46178</v>
      </c>
      <c r="K11" s="28" t="n">
        <v>46193</v>
      </c>
      <c r="L11" s="11">
        <f>IF(OR(J11="",K11=""),"",K11-J11+1)</f>
        <v/>
      </c>
      <c r="M11" s="29" t="n">
        <v>1450</v>
      </c>
      <c r="N11" s="29" t="n">
        <v>320</v>
      </c>
      <c r="O11" s="33">
        <f>M11+N11</f>
        <v/>
      </c>
      <c r="P11" s="31" t="n">
        <v>18</v>
      </c>
      <c r="Q11" s="33">
        <f>IFERROR(O11*P11/100,0)</f>
        <v/>
      </c>
      <c r="R11" s="34">
        <f>IFERROR(VLOOKUP(H11,Dashboard!A:B,2,FALSE),"")</f>
        <v/>
      </c>
      <c r="S11" s="10">
        <f>IF(AND(J11&lt;&gt;"",K11=""),"Offen",IF(K11&lt;TODAY(),"Abgeschlossen","Laufend"))</f>
        <v/>
      </c>
      <c r="T11" s="3" t="inlineStr">
        <is>
          <t>Feuchtigkeitsmessung durchgeführt</t>
        </is>
      </c>
    </row>
  </sheetData>
  <conditionalFormatting sqref="P2:P11">
    <cfRule type="expression" priority="1" dxfId="0" stopIfTrue="1">
      <formula>P2&gt;=25</formula>
    </cfRule>
  </conditionalFormatting>
  <conditionalFormatting sqref="S2:S11">
    <cfRule type="expression" priority="2" dxfId="0" stopIfTrue="1">
      <formula>$S2="Offen"</formula>
    </cfRule>
  </conditionalFormatting>
  <dataValidations count="1">
    <dataValidation sqref="H2:H11" showErrorMessage="1" showInputMessage="1" allowBlank="1" type="list">
      <formula1>"Heizungsausfall,Schimmelbildung,Wasserschaden,Lärmbelästigung,Aufzug defekt,Elektrikstörung,Fenster undicht,Balkon gesperrt,Warmwasserprobleme,Feuchtigkeit im Keller"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7" customWidth="1" min="3" max="3"/>
    <col width="15" customWidth="1" min="4" max="4"/>
    <col width="20" customWidth="1" min="5" max="5"/>
    <col width="15" customWidth="1" min="6" max="6"/>
    <col width="18" customWidth="1" min="7" max="7"/>
    <col width="20" customWidth="1" min="8" max="8"/>
    <col width="15" customWidth="1" min="9" max="9"/>
    <col width="20" customWidth="1" min="10" max="10"/>
  </cols>
  <sheetData>
    <row r="1">
      <c r="A1" s="1" t="inlineStr">
        <is>
          <t>Fall-ID</t>
        </is>
      </c>
      <c r="B1" s="1" t="inlineStr">
        <is>
          <t>Referenz aus Mängelübersicht</t>
        </is>
      </c>
      <c r="C1" s="1" t="inlineStr">
        <is>
          <t>Warmmiete monatlich</t>
        </is>
      </c>
      <c r="D1" s="1" t="inlineStr">
        <is>
          <t>Minderungsquote %</t>
        </is>
      </c>
      <c r="E1" s="1" t="inlineStr">
        <is>
          <t>Minderungsbetrag pro Monat</t>
        </is>
      </c>
      <c r="F1" s="1" t="inlineStr">
        <is>
          <t>Zeitraum in Tagen</t>
        </is>
      </c>
      <c r="G1" s="1" t="inlineStr">
        <is>
          <t>anteilige Minderung €</t>
        </is>
      </c>
      <c r="H1" s="1" t="inlineStr">
        <is>
          <t>Bereits erstattete Summe €</t>
        </is>
      </c>
      <c r="I1" s="1" t="inlineStr">
        <is>
          <t>Offener Betrag €</t>
        </is>
      </c>
      <c r="J1" s="1" t="inlineStr">
        <is>
          <t>Empfehlung</t>
        </is>
      </c>
      <c r="L1" s="14" t="inlineStr">
        <is>
          <t>Gesamtminderung aller Fälle</t>
        </is>
      </c>
      <c r="M1" s="35">
        <f>SUM(G2:G11)</f>
        <v/>
      </c>
    </row>
    <row r="2">
      <c r="A2" s="2" t="inlineStr">
        <is>
          <t>MM-2026-001</t>
        </is>
      </c>
      <c r="B2" s="2">
        <f>A2</f>
        <v/>
      </c>
      <c r="C2" s="30">
        <f>IFERROR(VLOOKUP(B2,Mängelübersicht!A:Q,15,FALSE),0)</f>
        <v/>
      </c>
      <c r="D2" s="32">
        <f>IFERROR(VLOOKUP(B2,Mängelübersicht!A:P,16,FALSE),0)</f>
        <v/>
      </c>
      <c r="E2" s="30">
        <f>C2*D2/100</f>
        <v/>
      </c>
      <c r="F2" s="5">
        <f>IFERROR(VLOOKUP(B2,Mängelübersicht!A:L,12,FALSE),0)</f>
        <v/>
      </c>
      <c r="G2" s="30">
        <f>E2/30*F2</f>
        <v/>
      </c>
      <c r="H2" s="29" t="n">
        <v>100</v>
      </c>
      <c r="I2" s="30">
        <f>G2-H2</f>
        <v/>
      </c>
      <c r="J2" s="2">
        <f>IF(I2&gt;0,"Prüfen / anpassen","Ausgeglichen")</f>
        <v/>
      </c>
      <c r="L2" s="14" t="inlineStr">
        <is>
          <t>Durchschnittliche Minderungsquote</t>
        </is>
      </c>
      <c r="M2" s="36">
        <f>AVERAGE(D2:D11)</f>
        <v/>
      </c>
    </row>
    <row r="3">
      <c r="A3" s="10" t="inlineStr">
        <is>
          <t>MM-2026-002</t>
        </is>
      </c>
      <c r="B3" s="10">
        <f>A3</f>
        <v/>
      </c>
      <c r="C3" s="33">
        <f>IFERROR(VLOOKUP(B3,Mängelübersicht!A:Q,15,FALSE),0)</f>
        <v/>
      </c>
      <c r="D3" s="34">
        <f>IFERROR(VLOOKUP(B3,Mängelübersicht!A:P,16,FALSE),0)</f>
        <v/>
      </c>
      <c r="E3" s="33">
        <f>C3*D3/100</f>
        <v/>
      </c>
      <c r="F3" s="11">
        <f>IFERROR(VLOOKUP(B3,Mängelübersicht!A:L,12,FALSE),0)</f>
        <v/>
      </c>
      <c r="G3" s="33">
        <f>E3/30*F3</f>
        <v/>
      </c>
      <c r="H3" s="29" t="n">
        <v>0</v>
      </c>
      <c r="I3" s="33">
        <f>G3-H3</f>
        <v/>
      </c>
      <c r="J3" s="10">
        <f>IF(I3&gt;0,"Prüfen / anpassen","Ausgeglichen")</f>
        <v/>
      </c>
      <c r="L3" s="14" t="inlineStr">
        <is>
          <t>Anzahl offener Fälle</t>
        </is>
      </c>
      <c r="M3" s="17">
        <f>COUNTIF(J2:J11,"Prüfen / anpassen")</f>
        <v/>
      </c>
    </row>
    <row r="4">
      <c r="A4" s="2" t="inlineStr">
        <is>
          <t>MM-2026-003</t>
        </is>
      </c>
      <c r="B4" s="2">
        <f>A4</f>
        <v/>
      </c>
      <c r="C4" s="30">
        <f>IFERROR(VLOOKUP(B4,Mängelübersicht!A:Q,15,FALSE),0)</f>
        <v/>
      </c>
      <c r="D4" s="32">
        <f>IFERROR(VLOOKUP(B4,Mängelübersicht!A:P,16,FALSE),0)</f>
        <v/>
      </c>
      <c r="E4" s="30">
        <f>C4*D4/100</f>
        <v/>
      </c>
      <c r="F4" s="5">
        <f>IFERROR(VLOOKUP(B4,Mängelübersicht!A:L,12,FALSE),0)</f>
        <v/>
      </c>
      <c r="G4" s="30">
        <f>E4/30*F4</f>
        <v/>
      </c>
      <c r="H4" s="29" t="n">
        <v>150</v>
      </c>
      <c r="I4" s="30">
        <f>G4-H4</f>
        <v/>
      </c>
      <c r="J4" s="2">
        <f>IF(I4&gt;0,"Prüfen / anpassen","Ausgeglichen")</f>
        <v/>
      </c>
    </row>
    <row r="5">
      <c r="A5" s="10" t="inlineStr">
        <is>
          <t>MM-2026-004</t>
        </is>
      </c>
      <c r="B5" s="10">
        <f>A5</f>
        <v/>
      </c>
      <c r="C5" s="33">
        <f>IFERROR(VLOOKUP(B5,Mängelübersicht!A:Q,15,FALSE),0)</f>
        <v/>
      </c>
      <c r="D5" s="34">
        <f>IFERROR(VLOOKUP(B5,Mängelübersicht!A:P,16,FALSE),0)</f>
        <v/>
      </c>
      <c r="E5" s="33">
        <f>C5*D5/100</f>
        <v/>
      </c>
      <c r="F5" s="11">
        <f>IFERROR(VLOOKUP(B5,Mängelübersicht!A:L,12,FALSE),0)</f>
        <v/>
      </c>
      <c r="G5" s="33">
        <f>E5/30*F5</f>
        <v/>
      </c>
      <c r="H5" s="29" t="n">
        <v>50</v>
      </c>
      <c r="I5" s="33">
        <f>G5-H5</f>
        <v/>
      </c>
      <c r="J5" s="10">
        <f>IF(I5&gt;0,"Prüfen / anpassen","Ausgeglichen")</f>
        <v/>
      </c>
    </row>
    <row r="6">
      <c r="A6" s="2" t="inlineStr">
        <is>
          <t>MM-2026-005</t>
        </is>
      </c>
      <c r="B6" s="2">
        <f>A6</f>
        <v/>
      </c>
      <c r="C6" s="30">
        <f>IFERROR(VLOOKUP(B6,Mängelübersicht!A:Q,15,FALSE),0)</f>
        <v/>
      </c>
      <c r="D6" s="32">
        <f>IFERROR(VLOOKUP(B6,Mängelübersicht!A:P,16,FALSE),0)</f>
        <v/>
      </c>
      <c r="E6" s="30">
        <f>C6*D6/100</f>
        <v/>
      </c>
      <c r="F6" s="5">
        <f>IFERROR(VLOOKUP(B6,Mängelübersicht!A:L,12,FALSE),0)</f>
        <v/>
      </c>
      <c r="G6" s="30">
        <f>E6/30*F6</f>
        <v/>
      </c>
      <c r="H6" s="29" t="n">
        <v>0</v>
      </c>
      <c r="I6" s="30">
        <f>G6-H6</f>
        <v/>
      </c>
      <c r="J6" s="2">
        <f>IF(I6&gt;0,"Prüfen / anpassen","Ausgeglichen")</f>
        <v/>
      </c>
    </row>
    <row r="7">
      <c r="A7" s="10" t="inlineStr">
        <is>
          <t>MM-2026-006</t>
        </is>
      </c>
      <c r="B7" s="10">
        <f>A7</f>
        <v/>
      </c>
      <c r="C7" s="33">
        <f>IFERROR(VLOOKUP(B7,Mängelübersicht!A:Q,15,FALSE),0)</f>
        <v/>
      </c>
      <c r="D7" s="34">
        <f>IFERROR(VLOOKUP(B7,Mängelübersicht!A:P,16,FALSE),0)</f>
        <v/>
      </c>
      <c r="E7" s="33">
        <f>C7*D7/100</f>
        <v/>
      </c>
      <c r="F7" s="11">
        <f>IFERROR(VLOOKUP(B7,Mängelübersicht!A:L,12,FALSE),0)</f>
        <v/>
      </c>
      <c r="G7" s="33">
        <f>E7/30*F7</f>
        <v/>
      </c>
      <c r="H7" s="29" t="n">
        <v>80</v>
      </c>
      <c r="I7" s="33">
        <f>G7-H7</f>
        <v/>
      </c>
      <c r="J7" s="10">
        <f>IF(I7&gt;0,"Prüfen / anpassen","Ausgeglichen")</f>
        <v/>
      </c>
    </row>
    <row r="8">
      <c r="A8" s="2" t="inlineStr">
        <is>
          <t>MM-2026-007</t>
        </is>
      </c>
      <c r="B8" s="2">
        <f>A8</f>
        <v/>
      </c>
      <c r="C8" s="30">
        <f>IFERROR(VLOOKUP(B8,Mängelübersicht!A:Q,15,FALSE),0)</f>
        <v/>
      </c>
      <c r="D8" s="32">
        <f>IFERROR(VLOOKUP(B8,Mängelübersicht!A:P,16,FALSE),0)</f>
        <v/>
      </c>
      <c r="E8" s="30">
        <f>C8*D8/100</f>
        <v/>
      </c>
      <c r="F8" s="5">
        <f>IFERROR(VLOOKUP(B8,Mängelübersicht!A:L,12,FALSE),0)</f>
        <v/>
      </c>
      <c r="G8" s="30">
        <f>E8/30*F8</f>
        <v/>
      </c>
      <c r="H8" s="29" t="n">
        <v>60</v>
      </c>
      <c r="I8" s="30">
        <f>G8-H8</f>
        <v/>
      </c>
      <c r="J8" s="2">
        <f>IF(I8&gt;0,"Prüfen / anpassen","Ausgeglichen")</f>
        <v/>
      </c>
    </row>
    <row r="9">
      <c r="A9" s="10" t="inlineStr">
        <is>
          <t>MM-2026-008</t>
        </is>
      </c>
      <c r="B9" s="10">
        <f>A9</f>
        <v/>
      </c>
      <c r="C9" s="33">
        <f>IFERROR(VLOOKUP(B9,Mängelübersicht!A:Q,15,FALSE),0)</f>
        <v/>
      </c>
      <c r="D9" s="34">
        <f>IFERROR(VLOOKUP(B9,Mängelübersicht!A:P,16,FALSE),0)</f>
        <v/>
      </c>
      <c r="E9" s="33">
        <f>C9*D9/100</f>
        <v/>
      </c>
      <c r="F9" s="11">
        <f>IFERROR(VLOOKUP(B9,Mängelübersicht!A:L,12,FALSE),0)</f>
        <v/>
      </c>
      <c r="G9" s="33">
        <f>E9/30*F9</f>
        <v/>
      </c>
      <c r="H9" s="29" t="n">
        <v>20</v>
      </c>
      <c r="I9" s="33">
        <f>G9-H9</f>
        <v/>
      </c>
      <c r="J9" s="10">
        <f>IF(I9&gt;0,"Prüfen / anpassen","Ausgeglichen")</f>
        <v/>
      </c>
    </row>
    <row r="10">
      <c r="A10" s="2" t="inlineStr">
        <is>
          <t>MM-2026-009</t>
        </is>
      </c>
      <c r="B10" s="2">
        <f>A10</f>
        <v/>
      </c>
      <c r="C10" s="30">
        <f>IFERROR(VLOOKUP(B10,Mängelübersicht!A:Q,15,FALSE),0)</f>
        <v/>
      </c>
      <c r="D10" s="32">
        <f>IFERROR(VLOOKUP(B10,Mängelübersicht!A:P,16,FALSE),0)</f>
        <v/>
      </c>
      <c r="E10" s="30">
        <f>C10*D10/100</f>
        <v/>
      </c>
      <c r="F10" s="5">
        <f>IFERROR(VLOOKUP(B10,Mängelübersicht!A:L,12,FALSE),0)</f>
        <v/>
      </c>
      <c r="G10" s="30">
        <f>E10/30*F10</f>
        <v/>
      </c>
      <c r="H10" s="29" t="n">
        <v>90</v>
      </c>
      <c r="I10" s="30">
        <f>G10-H10</f>
        <v/>
      </c>
      <c r="J10" s="2">
        <f>IF(I10&gt;0,"Prüfen / anpassen","Ausgeglichen")</f>
        <v/>
      </c>
    </row>
    <row r="11">
      <c r="A11" s="10" t="inlineStr">
        <is>
          <t>MM-2026-010</t>
        </is>
      </c>
      <c r="B11" s="10">
        <f>A11</f>
        <v/>
      </c>
      <c r="C11" s="33">
        <f>IFERROR(VLOOKUP(B11,Mängelübersicht!A:Q,15,FALSE),0)</f>
        <v/>
      </c>
      <c r="D11" s="34">
        <f>IFERROR(VLOOKUP(B11,Mängelübersicht!A:P,16,FALSE),0)</f>
        <v/>
      </c>
      <c r="E11" s="33">
        <f>C11*D11/100</f>
        <v/>
      </c>
      <c r="F11" s="11">
        <f>IFERROR(VLOOKUP(B11,Mängelübersicht!A:L,12,FALSE),0)</f>
        <v/>
      </c>
      <c r="G11" s="33">
        <f>E11/30*F11</f>
        <v/>
      </c>
      <c r="H11" s="29" t="n">
        <v>200</v>
      </c>
      <c r="I11" s="33">
        <f>G11-H11</f>
        <v/>
      </c>
      <c r="J11" s="10">
        <f>IF(I11&gt;0,"Prüfen / anpassen","Ausgeglichen")</f>
        <v/>
      </c>
    </row>
  </sheetData>
  <conditionalFormatting sqref="J2:J11">
    <cfRule type="expression" priority="1" dxfId="0" stopIfTrue="1">
      <formula>$J2="Prüfen / anpassen"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2" customWidth="1" min="3" max="3"/>
    <col width="22" customWidth="1" min="4" max="4"/>
    <col width="12" customWidth="1" min="5" max="5"/>
    <col width="18" customWidth="1" min="6" max="6"/>
    <col width="4" customWidth="1" min="7" max="7"/>
    <col width="14" customWidth="1" min="8" max="8"/>
    <col width="10" customWidth="1" min="9" max="9"/>
  </cols>
  <sheetData>
    <row r="1">
      <c r="A1" s="18" t="inlineStr">
        <is>
          <t>Dashboard – Mietminderung Übersicht</t>
        </is>
      </c>
    </row>
    <row r="2"/>
    <row r="3">
      <c r="A3" s="19" t="inlineStr">
        <is>
          <t>Referenztabelle: Mangelart -&gt; Richtwert Minderungsquote (%)</t>
        </is>
      </c>
    </row>
    <row r="4">
      <c r="A4" s="20" t="inlineStr">
        <is>
          <t>Mangelart</t>
        </is>
      </c>
      <c r="B4" s="20" t="inlineStr">
        <is>
          <t>Richtwert %</t>
        </is>
      </c>
    </row>
    <row r="5">
      <c r="A5" s="2" t="inlineStr">
        <is>
          <t>Heizungsausfall</t>
        </is>
      </c>
      <c r="B5" s="32" t="n">
        <v>20</v>
      </c>
    </row>
    <row r="6">
      <c r="A6" s="10" t="inlineStr">
        <is>
          <t>Schimmelbildung</t>
        </is>
      </c>
      <c r="B6" s="34" t="n">
        <v>15</v>
      </c>
    </row>
    <row r="7">
      <c r="A7" s="2" t="inlineStr">
        <is>
          <t>Wasserschaden</t>
        </is>
      </c>
      <c r="B7" s="32" t="n">
        <v>25</v>
      </c>
    </row>
    <row r="8">
      <c r="A8" s="10" t="inlineStr">
        <is>
          <t>Lärmbelästigung</t>
        </is>
      </c>
      <c r="B8" s="34" t="n">
        <v>10</v>
      </c>
    </row>
    <row r="9">
      <c r="A9" s="2" t="inlineStr">
        <is>
          <t>Aufzug defekt</t>
        </is>
      </c>
      <c r="B9" s="32" t="n">
        <v>8</v>
      </c>
    </row>
    <row r="10">
      <c r="A10" s="10" t="inlineStr">
        <is>
          <t>Elektrikstörung</t>
        </is>
      </c>
      <c r="B10" s="34" t="n">
        <v>12</v>
      </c>
    </row>
    <row r="11">
      <c r="A11" s="2" t="inlineStr">
        <is>
          <t>Fenster undicht</t>
        </is>
      </c>
      <c r="B11" s="32" t="n">
        <v>7</v>
      </c>
    </row>
    <row r="12">
      <c r="A12" s="10" t="inlineStr">
        <is>
          <t>Balkon gesperrt</t>
        </is>
      </c>
      <c r="B12" s="34" t="n">
        <v>5</v>
      </c>
    </row>
    <row r="13">
      <c r="A13" s="2" t="inlineStr">
        <is>
          <t>Warmwasserprobleme</t>
        </is>
      </c>
      <c r="B13" s="32" t="n">
        <v>20</v>
      </c>
    </row>
    <row r="14">
      <c r="A14" s="10" t="inlineStr">
        <is>
          <t>Feuchtigkeit im Keller</t>
        </is>
      </c>
      <c r="B14" s="34" t="n">
        <v>15</v>
      </c>
    </row>
    <row r="15"/>
    <row r="16">
      <c r="A16" s="21" t="inlineStr">
        <is>
          <t>Kennzahlen</t>
        </is>
      </c>
      <c r="D16" s="21" t="inlineStr">
        <is>
          <t>Mängelarten</t>
        </is>
      </c>
      <c r="H16" s="21" t="inlineStr">
        <is>
          <t>Statusübersicht</t>
        </is>
      </c>
    </row>
    <row r="17">
      <c r="A17" s="22" t="inlineStr">
        <is>
          <t>Anzahl Fälle</t>
        </is>
      </c>
      <c r="B17" s="17">
        <f>COUNTA(Mängelübersicht!A2:A11)</f>
        <v/>
      </c>
      <c r="D17" s="20" t="inlineStr">
        <is>
          <t>Mangelart</t>
        </is>
      </c>
      <c r="E17" s="20" t="inlineStr">
        <is>
          <t>Anzahl</t>
        </is>
      </c>
      <c r="F17" s="20" t="inlineStr">
        <is>
          <t>Ø Minderungsquote</t>
        </is>
      </c>
      <c r="H17" s="20" t="inlineStr">
        <is>
          <t>Status</t>
        </is>
      </c>
      <c r="I17" s="20" t="inlineStr">
        <is>
          <t>Anzahl</t>
        </is>
      </c>
    </row>
    <row r="18">
      <c r="A18" s="23" t="inlineStr">
        <is>
          <t>Offen</t>
        </is>
      </c>
      <c r="B18" s="24">
        <f>COUNTIF(Mängelübersicht!S2:S11,"Offen")</f>
        <v/>
      </c>
      <c r="D18" s="2" t="inlineStr">
        <is>
          <t>Heizungsausfall</t>
        </is>
      </c>
      <c r="E18" s="5">
        <f>COUNTIF(Mängelübersicht!$H$2:$H$11,D18)</f>
        <v/>
      </c>
      <c r="F18" s="32">
        <f>IFERROR(AVERAGEIF(Mängelübersicht!$H$2:$H$11,D18,Mängelübersicht!$P$2:$P$11),0)</f>
        <v/>
      </c>
      <c r="H18" s="2" t="inlineStr">
        <is>
          <t>Offen</t>
        </is>
      </c>
      <c r="I18" s="5">
        <f>COUNTIF(Mängelübersicht!S2:S11,"Offen")</f>
        <v/>
      </c>
    </row>
    <row r="19">
      <c r="A19" s="22" t="inlineStr">
        <is>
          <t>Laufend</t>
        </is>
      </c>
      <c r="B19" s="17">
        <f>COUNTIF(Mängelübersicht!S2:S11,"Laufend")</f>
        <v/>
      </c>
      <c r="D19" s="10" t="inlineStr">
        <is>
          <t>Schimmelbildung</t>
        </is>
      </c>
      <c r="E19" s="11">
        <f>COUNTIF(Mängelübersicht!$H$2:$H$11,D19)</f>
        <v/>
      </c>
      <c r="F19" s="34">
        <f>IFERROR(AVERAGEIF(Mängelübersicht!$H$2:$H$11,D19,Mängelübersicht!$P$2:$P$11),0)</f>
        <v/>
      </c>
      <c r="H19" s="10" t="inlineStr">
        <is>
          <t>Laufend</t>
        </is>
      </c>
      <c r="I19" s="11">
        <f>COUNTIF(Mängelübersicht!S2:S11,"Laufend")</f>
        <v/>
      </c>
    </row>
    <row r="20">
      <c r="A20" s="23" t="inlineStr">
        <is>
          <t>Abgeschlossen</t>
        </is>
      </c>
      <c r="B20" s="24">
        <f>COUNTIF(Mängelübersicht!S2:S11,"Abgeschlossen")</f>
        <v/>
      </c>
      <c r="D20" s="2" t="inlineStr">
        <is>
          <t>Wasserschaden</t>
        </is>
      </c>
      <c r="E20" s="5">
        <f>COUNTIF(Mängelübersicht!$H$2:$H$11,D20)</f>
        <v/>
      </c>
      <c r="F20" s="32">
        <f>IFERROR(AVERAGEIF(Mängelübersicht!$H$2:$H$11,D20,Mängelübersicht!$P$2:$P$11),0)</f>
        <v/>
      </c>
      <c r="H20" s="2" t="inlineStr">
        <is>
          <t>Abgeschlossen</t>
        </is>
      </c>
      <c r="I20" s="5">
        <f>COUNTIF(Mängelübersicht!S2:S11,"Abgeschlossen")</f>
        <v/>
      </c>
    </row>
    <row r="21">
      <c r="A21" s="22" t="inlineStr">
        <is>
          <t>Summe Minderungsbetrag</t>
        </is>
      </c>
      <c r="B21" s="35">
        <f>SUM(Mietminderungsrechner!G2:G11)</f>
        <v/>
      </c>
      <c r="D21" s="10" t="inlineStr">
        <is>
          <t>Lärmbelästigung</t>
        </is>
      </c>
      <c r="E21" s="11">
        <f>COUNTIF(Mängelübersicht!$H$2:$H$11,D21)</f>
        <v/>
      </c>
      <c r="F21" s="34">
        <f>IFERROR(AVERAGEIF(Mängelübersicht!$H$2:$H$11,D21,Mängelübersicht!$P$2:$P$11),0)</f>
        <v/>
      </c>
    </row>
    <row r="22">
      <c r="A22" s="23" t="inlineStr">
        <is>
          <t>Durchschnittliche Minderungsquote</t>
        </is>
      </c>
      <c r="B22" s="37">
        <f>AVERAGE(Mängelübersicht!P2:P11)</f>
        <v/>
      </c>
      <c r="D22" s="2" t="inlineStr">
        <is>
          <t>Aufzug defekt</t>
        </is>
      </c>
      <c r="E22" s="5">
        <f>COUNTIF(Mängelübersicht!$H$2:$H$11,D22)</f>
        <v/>
      </c>
      <c r="F22" s="32">
        <f>IFERROR(AVERAGEIF(Mängelübersicht!$H$2:$H$11,D22,Mängelübersicht!$P$2:$P$11),0)</f>
        <v/>
      </c>
    </row>
    <row r="23">
      <c r="D23" s="10" t="inlineStr">
        <is>
          <t>Elektrikstörung</t>
        </is>
      </c>
      <c r="E23" s="11">
        <f>COUNTIF(Mängelübersicht!$H$2:$H$11,D23)</f>
        <v/>
      </c>
      <c r="F23" s="34">
        <f>IFERROR(AVERAGEIF(Mängelübersicht!$H$2:$H$11,D23,Mängelübersicht!$P$2:$P$11),0)</f>
        <v/>
      </c>
    </row>
    <row r="24">
      <c r="D24" s="2" t="inlineStr">
        <is>
          <t>Fenster undicht</t>
        </is>
      </c>
      <c r="E24" s="5">
        <f>COUNTIF(Mängelübersicht!$H$2:$H$11,D24)</f>
        <v/>
      </c>
      <c r="F24" s="32">
        <f>IFERROR(AVERAGEIF(Mängelübersicht!$H$2:$H$11,D24,Mängelübersicht!$P$2:$P$11),0)</f>
        <v/>
      </c>
    </row>
    <row r="25">
      <c r="D25" s="10" t="inlineStr">
        <is>
          <t>Balkon gesperrt</t>
        </is>
      </c>
      <c r="E25" s="11">
        <f>COUNTIF(Mängelübersicht!$H$2:$H$11,D25)</f>
        <v/>
      </c>
      <c r="F25" s="34">
        <f>IFERROR(AVERAGEIF(Mängelübersicht!$H$2:$H$11,D25,Mängelübersicht!$P$2:$P$11),0)</f>
        <v/>
      </c>
    </row>
    <row r="26">
      <c r="D26" s="2" t="inlineStr">
        <is>
          <t>Warmwasserprobleme</t>
        </is>
      </c>
      <c r="E26" s="5">
        <f>COUNTIF(Mängelübersicht!$H$2:$H$11,D26)</f>
        <v/>
      </c>
      <c r="F26" s="32">
        <f>IFERROR(AVERAGEIF(Mängelübersicht!$H$2:$H$11,D26,Mängelübersicht!$P$2:$P$11),0)</f>
        <v/>
      </c>
    </row>
    <row r="27">
      <c r="D27" s="10" t="inlineStr">
        <is>
          <t>Feuchtigkeit im Keller</t>
        </is>
      </c>
      <c r="E27" s="11">
        <f>COUNTIF(Mängelübersicht!$H$2:$H$11,D27)</f>
        <v/>
      </c>
      <c r="F27" s="34">
        <f>IFERROR(AVERAGEIF(Mängelübersicht!$H$2:$H$11,D27,Mängelübersicht!$P$2:$P$11),0)</f>
        <v/>
      </c>
    </row>
  </sheetData>
  <mergeCells count="4">
    <mergeCell ref="A1:J1"/>
    <mergeCell ref="A16:B16"/>
    <mergeCell ref="D16:F16"/>
    <mergeCell ref="H16:I1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>
      <c r="A1" s="26" t="inlineStr">
        <is>
          <t>Hinweise &amp; Regeln zur Mietminderung</t>
        </is>
      </c>
    </row>
    <row r="2"/>
    <row r="3" ht="30" customHeight="1">
      <c r="A3" s="19" t="inlineStr"/>
      <c r="B3" s="27" t="inlineStr">
        <is>
          <t>Diese Arbeitsmappe unterstützt Sie bei der strukturierten Erfassung und Berechnung von Mietminderungen bei Mängeln an der Mietsache. Bitte beachten Sie die folgenden Grundsätze:</t>
        </is>
      </c>
    </row>
    <row r="4" ht="30" customHeight="1">
      <c r="A4" s="19" t="inlineStr">
        <is>
          <t>1.</t>
        </is>
      </c>
      <c r="B4" s="27" t="inlineStr">
        <is>
          <t>Mietminderung nur bei erheblicher Beeinträchtigung: Eine Minderung der Kalt- bzw. Warmmiete ist nur zulässig, wenn der Gebrauch der Mietsache durch den Mangel spürbar eingeschränkt ist. Bagatellmängel berechtigen in der Regel nicht zur Minderung.</t>
        </is>
      </c>
    </row>
    <row r="5" ht="30" customHeight="1">
      <c r="A5" s="19" t="inlineStr">
        <is>
          <t>2.</t>
        </is>
      </c>
      <c r="B5" s="27" t="inlineStr">
        <is>
          <t>Meldepflicht des Mieters: Der Mieter muss den Mangel dem Vermieter unverzüglich anzeigen (Mängelanzeige). Ohne Anzeige kann der Anspruch auf Minderung eingeschränkt oder ausgeschlossen sein.</t>
        </is>
      </c>
    </row>
    <row r="6" ht="30" customHeight="1">
      <c r="A6" s="19" t="inlineStr">
        <is>
          <t>3.</t>
        </is>
      </c>
      <c r="B6" s="27" t="inlineStr">
        <is>
          <t>Beweisführung: Dokumentieren Sie Mängel sorgfältig mit Fotos, schriftlichen Protokollen, Zeugenaussagen und – bei Bedarf – durch ein Sachverständigengutachten.</t>
        </is>
      </c>
    </row>
    <row r="7" ht="30" customHeight="1">
      <c r="A7" s="19" t="inlineStr">
        <is>
          <t>4.</t>
        </is>
      </c>
      <c r="B7" s="27" t="inlineStr">
        <is>
          <t>Rechtsgrundlage § 536 BGB: Die Minderung tritt kraft Gesetzes ein, sobald der Mangel vorliegt und angezeigt wurde. Eine gesonderte Erklärung des Mieters ist grundsätzlich nicht erforderlich.</t>
        </is>
      </c>
    </row>
    <row r="8" ht="30" customHeight="1">
      <c r="A8" s="19" t="inlineStr">
        <is>
          <t>5.</t>
        </is>
      </c>
      <c r="B8" s="27" t="inlineStr">
        <is>
          <t>Abgrenzung zu Schönheitsreparaturen und Kleinreparaturen: Kosmetische Mängel oder Bagatellschäden, die im Rahmen üblicher Instandhaltung liegen, begründen in der Regel keine Minderung.</t>
        </is>
      </c>
    </row>
    <row r="9" ht="30" customHeight="1">
      <c r="A9" s="19" t="inlineStr">
        <is>
          <t>6.</t>
        </is>
      </c>
      <c r="B9" s="27" t="inlineStr">
        <is>
          <t>Empfehlung: Setzen Sie dem Vermieter angemessene Fristen zur Mängelbeseitigung, dokumentieren Sie den Sachverhalt schriftlich und lassen Sie strittige Fälle im Zweifel fachlich (Anwalt, Mieterverein, Haus- und Grundbesitzerverein) prüfen.</t>
        </is>
      </c>
    </row>
    <row r="10" ht="30" customHeight="1">
      <c r="A10" s="19" t="inlineStr"/>
      <c r="B10" s="27" t="inlineStr"/>
    </row>
    <row r="11" ht="30" customHeight="1">
      <c r="A11" s="19" t="inlineStr"/>
      <c r="B11" s="27" t="inlineStr">
        <is>
          <t>Aufbau der Arbeitsmappe:</t>
        </is>
      </c>
    </row>
    <row r="12" ht="30" customHeight="1">
      <c r="A12" s="19" t="inlineStr">
        <is>
          <t>•</t>
        </is>
      </c>
      <c r="B12" s="27" t="inlineStr">
        <is>
          <t>Mängelübersicht: Zentrale Erfassung aller Fälle mit Objektangaben, Mangelbeschreibung, Zeitraum, Mietbestandteilen sowie automatisch berechneter Minderungsbetrag und Status.</t>
        </is>
      </c>
    </row>
    <row r="13" ht="30" customHeight="1">
      <c r="A13" s="19" t="inlineStr">
        <is>
          <t>•</t>
        </is>
      </c>
      <c r="B13" s="27" t="inlineStr">
        <is>
          <t>Mietminderungsrechner: Berechnet je Fall die anteilige Minderung über den Beeinträchtigungs-zeitraum, gleicht bereits erstattete Beträge ab und gibt eine Handlungsempfehlung.</t>
        </is>
      </c>
    </row>
    <row r="14" ht="30" customHeight="1">
      <c r="A14" s="19" t="inlineStr">
        <is>
          <t>•</t>
        </is>
      </c>
      <c r="B14" s="27" t="inlineStr">
        <is>
          <t>Dashboard: Kennzahlen, Referenztabelle für Richtwerte je Mangelart, Auswertungen nach Mangelart und Status sowie grafische Darstellungen.</t>
        </is>
      </c>
    </row>
    <row r="15" ht="30" customHeight="1">
      <c r="A15" s="19" t="inlineStr">
        <is>
          <t>•</t>
        </is>
      </c>
      <c r="B15" s="27" t="inlineStr">
        <is>
          <t>Gelb hinterlegte Zellen sind Eingabefelder und können angepasst werden. Alle übrigen Zellen enthalten Formeln und sollten nicht überschrieben werden.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2026-07-02T00:07:23Z</dcterms:created>
  <dcterms:modified xmlns:dcterms="http://purl.org/dc/terms/" xmlns:xsi="http://www.w3.org/2001/XMLSchema-instance" xsi:type="dcterms:W3CDTF">2026-07-02T00:07:23Z</dcterms:modified>
</cp:coreProperties>
</file>