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utionskonten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.MM.YYYY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E5E7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7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3" borderId="1" pivotButton="0" quotePrefix="0" xfId="0"/>
    <xf numFmtId="165" fontId="4" fillId="3" borderId="1" pivotButton="0" quotePrefix="0" xfId="0"/>
    <xf numFmtId="10" fontId="4" fillId="3" borderId="1" pivotButton="0" quotePrefix="0" xfId="0"/>
    <xf numFmtId="1" fontId="4" fillId="4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0" fontId="4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10" fontId="0" fillId="4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" fontId="4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0" fontId="4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10" fontId="0" fillId="5" borderId="1" pivotButton="0" quotePrefix="0" xfId="0"/>
    <xf numFmtId="0" fontId="0" fillId="6" borderId="1" pivotButton="0" quotePrefix="0" xfId="0"/>
    <xf numFmtId="0" fontId="5" fillId="6" borderId="1" pivotButton="0" quotePrefix="0" xfId="0"/>
    <xf numFmtId="164" fontId="5" fillId="6" borderId="1" pivotButton="0" quotePrefix="0" xfId="0"/>
    <xf numFmtId="10" fontId="5" fillId="6" borderId="1" pivotButton="0" quotePrefix="0" xfId="0"/>
    <xf numFmtId="0" fontId="1" fillId="0" borderId="0" pivotButton="0" quotePrefix="0" xfId="0"/>
    <xf numFmtId="1" fontId="5" fillId="4" borderId="1" applyAlignment="1" pivotButton="0" quotePrefix="0" xfId="0">
      <alignment horizontal="center" vertical="center" wrapText="1"/>
    </xf>
    <xf numFmtId="164" fontId="5" fillId="5" borderId="1" applyAlignment="1" pivotButton="0" quotePrefix="0" xfId="0">
      <alignment horizontal="center" vertical="center" wrapText="1"/>
    </xf>
    <xf numFmtId="164" fontId="5" fillId="4" borderId="1" applyAlignment="1" pivotButton="0" quotePrefix="0" xfId="0">
      <alignment horizontal="center" vertical="center" wrapText="1"/>
    </xf>
    <xf numFmtId="10" fontId="5" fillId="4" borderId="1" applyAlignment="1" pivotButton="0" quotePrefix="0" xfId="0">
      <alignment horizontal="center" vertical="center" wrapText="1"/>
    </xf>
    <xf numFmtId="1" fontId="5" fillId="5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165" fontId="4" fillId="3" borderId="1" pivotButton="0" quotePrefix="0" xfId="0"/>
  </cellXfs>
  <cellStyles count="1">
    <cellStyle name="Normal" xfId="0" builtinId="0" hidden="0"/>
  </cellStyles>
  <dxfs count="3"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ill>
        <patternFill patternType="solid">
          <fgColor rgb="00E5E7EB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Kautionsbetrag und Zinsen je Mieter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'Kautionskonten'!E3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'Kautionskonten'!$B$4:$B$12</f>
            </numRef>
          </cat>
          <val>
            <numRef>
              <f>'Kautionskonten'!$E$4:$E$12</f>
            </numRef>
          </val>
        </ser>
        <ser>
          <idx val="1"/>
          <order val="1"/>
          <tx>
            <strRef>
              <f>'Kautionskonten'!K3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'Kautionskonten'!$B$4:$B$12</f>
            </numRef>
          </cat>
          <val>
            <numRef>
              <f>'Kautionskonten'!$K$4:$K$12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Kautionsstatus</a:t>
            </a:r>
          </a:p>
        </rich>
      </tx>
    </title>
    <plotArea>
      <pieChart>
        <varyColors val="1"/>
        <ser>
          <idx val="0"/>
          <order val="0"/>
          <tx>
            <strRef>
              <f>'Auswertung'!B16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'Auswertung'!$A$17:$A$19</f>
            </numRef>
          </cat>
          <val>
            <numRef>
              <f>'Auswertung'!$B$17:$B$19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0" customWidth="1" min="2" max="2"/>
    <col width="28" customWidth="1" min="3" max="3"/>
    <col width="14" customWidth="1" min="4" max="4"/>
    <col width="16" customWidth="1" min="5" max="5"/>
    <col width="14" customWidth="1" min="6" max="6"/>
    <col width="13" customWidth="1" min="7" max="7"/>
    <col width="14" customWidth="1" min="8" max="8"/>
    <col width="14" customWidth="1" min="9" max="9"/>
    <col width="8" customWidth="1" min="10" max="10"/>
    <col width="13" customWidth="1" min="11" max="11"/>
    <col width="18" customWidth="1" min="12" max="12"/>
    <col width="12" customWidth="1" min="13" max="13"/>
    <col width="14" customWidth="1" min="14" max="14"/>
    <col width="12" customWidth="1" min="15" max="15"/>
    <col width="14" customWidth="1" min="16" max="16"/>
    <col width="14" customWidth="1" min="18" max="18"/>
    <col width="12" customWidth="1" min="19" max="19"/>
  </cols>
  <sheetData>
    <row r="1" ht="26" customHeight="1">
      <c r="A1" s="1" t="inlineStr">
        <is>
          <t>Kautionskonto – Zinsabrechnung 2026</t>
        </is>
      </c>
    </row>
    <row r="2">
      <c r="A2" s="2" t="inlineStr">
        <is>
          <t>Verwaltung und Zinsberechnung von Mietkautionskonten gemäß § 551 BGB</t>
        </is>
      </c>
      <c r="R2" s="3" t="inlineStr">
        <is>
          <t>Marktvergleich Zinssätze</t>
        </is>
      </c>
    </row>
    <row r="3" ht="34" customHeight="1">
      <c r="A3" s="4" t="inlineStr">
        <is>
          <t>Nr.</t>
        </is>
      </c>
      <c r="B3" s="4" t="inlineStr">
        <is>
          <t>Mieter</t>
        </is>
      </c>
      <c r="C3" s="4" t="inlineStr">
        <is>
          <t>Objekt/Adresse</t>
        </is>
      </c>
      <c r="D3" s="4" t="inlineStr">
        <is>
          <t>Wohnung</t>
        </is>
      </c>
      <c r="E3" s="4" t="inlineStr">
        <is>
          <t>Kautionsbetrag (€)</t>
        </is>
      </c>
      <c r="F3" s="4" t="inlineStr">
        <is>
          <t>Kontoeröffnung</t>
        </is>
      </c>
      <c r="G3" s="4" t="inlineStr">
        <is>
          <t>Zinssatz p.a. (%)</t>
        </is>
      </c>
      <c r="H3" s="4" t="inlineStr">
        <is>
          <t>Berechnung Beginn</t>
        </is>
      </c>
      <c r="I3" s="4" t="inlineStr">
        <is>
          <t>Berechnung Ende</t>
        </is>
      </c>
      <c r="J3" s="4" t="inlineStr">
        <is>
          <t>Tage</t>
        </is>
      </c>
      <c r="K3" s="4" t="inlineStr">
        <is>
          <t>Zinsen (€)</t>
        </is>
      </c>
      <c r="L3" s="4" t="inlineStr">
        <is>
          <t>Kontostand inkl. Zinsen (€)</t>
        </is>
      </c>
      <c r="M3" s="4" t="inlineStr">
        <is>
          <t>Status</t>
        </is>
      </c>
      <c r="N3" s="4" t="inlineStr">
        <is>
          <t>Bank</t>
        </is>
      </c>
      <c r="O3" s="4" t="inlineStr">
        <is>
          <t>Marktzins (%)</t>
        </is>
      </c>
      <c r="P3" s="4" t="inlineStr">
        <is>
          <t>Differenz z. Vertrag (%)</t>
        </is>
      </c>
      <c r="R3" s="4" t="inlineStr">
        <is>
          <t>Bank</t>
        </is>
      </c>
      <c r="S3" s="4" t="inlineStr">
        <is>
          <t>Zinssatz p.a.</t>
        </is>
      </c>
    </row>
    <row r="4">
      <c r="A4" s="5" t="n">
        <v>1</v>
      </c>
      <c r="B4" s="6" t="inlineStr">
        <is>
          <t>Thomas Becker</t>
        </is>
      </c>
      <c r="C4" s="6" t="inlineStr">
        <is>
          <t>Hauptstraße 12, Berlin</t>
        </is>
      </c>
      <c r="D4" s="6" t="inlineStr">
        <is>
          <t>3.OG links</t>
        </is>
      </c>
      <c r="E4" s="7" t="n">
        <v>1850</v>
      </c>
      <c r="F4" s="38" t="n">
        <v>46037</v>
      </c>
      <c r="G4" s="9" t="n">
        <v>0.015</v>
      </c>
      <c r="H4" s="38" t="n">
        <v>46037</v>
      </c>
      <c r="I4" s="38" t="n">
        <v>46387</v>
      </c>
      <c r="J4" s="10">
        <f>IFERROR(I4-H4,0)</f>
        <v/>
      </c>
      <c r="K4" s="11">
        <f>ROUND(E4*G4*J4/360,2)</f>
        <v/>
      </c>
      <c r="L4" s="11">
        <f>E4+K4</f>
        <v/>
      </c>
      <c r="M4" s="6" t="inlineStr">
        <is>
          <t>aktiv</t>
        </is>
      </c>
      <c r="N4" s="12" t="inlineStr">
        <is>
          <t>Sparkasse</t>
        </is>
      </c>
      <c r="O4" s="13">
        <f>IFERROR(VLOOKUP(N4,$R$4:$S$9,2,FALSE),0)</f>
        <v/>
      </c>
      <c r="P4" s="13">
        <f>G4-O4</f>
        <v/>
      </c>
      <c r="R4" s="14" t="inlineStr">
        <is>
          <t>Sparkasse</t>
        </is>
      </c>
      <c r="S4" s="15" t="n">
        <v>0.013</v>
      </c>
    </row>
    <row r="5">
      <c r="A5" s="16" t="n">
        <v>2</v>
      </c>
      <c r="B5" s="17" t="inlineStr">
        <is>
          <t>Sabine Müller</t>
        </is>
      </c>
      <c r="C5" s="17" t="inlineStr">
        <is>
          <t>Lindenallee 7, München</t>
        </is>
      </c>
      <c r="D5" s="17" t="inlineStr">
        <is>
          <t>EG rechts</t>
        </is>
      </c>
      <c r="E5" s="7" t="n">
        <v>2100</v>
      </c>
      <c r="F5" s="38" t="n">
        <v>46054</v>
      </c>
      <c r="G5" s="9" t="n">
        <v>0.012</v>
      </c>
      <c r="H5" s="38" t="n">
        <v>46054</v>
      </c>
      <c r="I5" s="38" t="n">
        <v>46387</v>
      </c>
      <c r="J5" s="18">
        <f>IFERROR(I5-H5,0)</f>
        <v/>
      </c>
      <c r="K5" s="19">
        <f>ROUND(E5*G5*J5/360,2)</f>
        <v/>
      </c>
      <c r="L5" s="19">
        <f>E5+K5</f>
        <v/>
      </c>
      <c r="M5" s="17" t="inlineStr">
        <is>
          <t>aktiv</t>
        </is>
      </c>
      <c r="N5" s="12" t="inlineStr">
        <is>
          <t>Volksbank</t>
        </is>
      </c>
      <c r="O5" s="20">
        <f>IFERROR(VLOOKUP(N5,$R$4:$S$9,2,FALSE),0)</f>
        <v/>
      </c>
      <c r="P5" s="20">
        <f>G5-O5</f>
        <v/>
      </c>
      <c r="R5" s="21" t="inlineStr">
        <is>
          <t>Volksbank</t>
        </is>
      </c>
      <c r="S5" s="22" t="n">
        <v>0.012</v>
      </c>
    </row>
    <row r="6">
      <c r="A6" s="5" t="n">
        <v>3</v>
      </c>
      <c r="B6" s="6" t="inlineStr">
        <is>
          <t>Andreas Schneider</t>
        </is>
      </c>
      <c r="C6" s="6" t="inlineStr">
        <is>
          <t>Goethestraße 45, Hamburg</t>
        </is>
      </c>
      <c r="D6" s="6" t="inlineStr">
        <is>
          <t>2.OG</t>
        </is>
      </c>
      <c r="E6" s="7" t="n">
        <v>1500</v>
      </c>
      <c r="F6" s="38" t="n">
        <v>46023</v>
      </c>
      <c r="G6" s="9" t="n">
        <v>0.01</v>
      </c>
      <c r="H6" s="38" t="n">
        <v>46023</v>
      </c>
      <c r="I6" s="38" t="n">
        <v>46203</v>
      </c>
      <c r="J6" s="10">
        <f>IFERROR(I6-H6,0)</f>
        <v/>
      </c>
      <c r="K6" s="11">
        <f>ROUND(E6*G6*J6/360,2)</f>
        <v/>
      </c>
      <c r="L6" s="11">
        <f>E6+K6</f>
        <v/>
      </c>
      <c r="M6" s="6" t="inlineStr">
        <is>
          <t>beendet</t>
        </is>
      </c>
      <c r="N6" s="12" t="inlineStr">
        <is>
          <t>Deutsche Bank</t>
        </is>
      </c>
      <c r="O6" s="13">
        <f>IFERROR(VLOOKUP(N6,$R$4:$S$9,2,FALSE),0)</f>
        <v/>
      </c>
      <c r="P6" s="13">
        <f>G6-O6</f>
        <v/>
      </c>
      <c r="R6" s="14" t="inlineStr">
        <is>
          <t>Deutsche Bank</t>
        </is>
      </c>
      <c r="S6" s="15" t="n">
        <v>0.011</v>
      </c>
    </row>
    <row r="7">
      <c r="A7" s="16" t="n">
        <v>4</v>
      </c>
      <c r="B7" s="17" t="inlineStr">
        <is>
          <t>Petra Wagner</t>
        </is>
      </c>
      <c r="C7" s="17" t="inlineStr">
        <is>
          <t>Rosenweg 3, Köln</t>
        </is>
      </c>
      <c r="D7" s="17" t="inlineStr">
        <is>
          <t>1.OG</t>
        </is>
      </c>
      <c r="E7" s="7" t="n">
        <v>1980</v>
      </c>
      <c r="F7" s="38" t="n">
        <v>46082</v>
      </c>
      <c r="G7" s="9" t="n">
        <v>0.014</v>
      </c>
      <c r="H7" s="38" t="n">
        <v>46082</v>
      </c>
      <c r="I7" s="38" t="n">
        <v>46387</v>
      </c>
      <c r="J7" s="18">
        <f>IFERROR(I7-H7,0)</f>
        <v/>
      </c>
      <c r="K7" s="19">
        <f>ROUND(E7*G7*J7/360,2)</f>
        <v/>
      </c>
      <c r="L7" s="19">
        <f>E7+K7</f>
        <v/>
      </c>
      <c r="M7" s="17" t="inlineStr">
        <is>
          <t>aktiv</t>
        </is>
      </c>
      <c r="N7" s="12" t="inlineStr">
        <is>
          <t>ING</t>
        </is>
      </c>
      <c r="O7" s="20">
        <f>IFERROR(VLOOKUP(N7,$R$4:$S$9,2,FALSE),0)</f>
        <v/>
      </c>
      <c r="P7" s="20">
        <f>G7-O7</f>
        <v/>
      </c>
      <c r="R7" s="21" t="inlineStr">
        <is>
          <t>ING</t>
        </is>
      </c>
      <c r="S7" s="22" t="n">
        <v>0.014</v>
      </c>
    </row>
    <row r="8">
      <c r="A8" s="5" t="n">
        <v>5</v>
      </c>
      <c r="B8" s="6" t="inlineStr">
        <is>
          <t>Michael Hoffmann</t>
        </is>
      </c>
      <c r="C8" s="6" t="inlineStr">
        <is>
          <t>Berliner Allee 20, Frankfurt am Main</t>
        </is>
      </c>
      <c r="D8" s="6" t="inlineStr">
        <is>
          <t>4.OG</t>
        </is>
      </c>
      <c r="E8" s="7" t="n">
        <v>2400</v>
      </c>
      <c r="F8" s="38" t="n">
        <v>46032</v>
      </c>
      <c r="G8" s="9" t="n">
        <v>0.013</v>
      </c>
      <c r="H8" s="38" t="n">
        <v>46032</v>
      </c>
      <c r="I8" s="38" t="n">
        <v>46387</v>
      </c>
      <c r="J8" s="10">
        <f>IFERROR(I8-H8,0)</f>
        <v/>
      </c>
      <c r="K8" s="11">
        <f>ROUND(E8*G8*J8/360,2)</f>
        <v/>
      </c>
      <c r="L8" s="11">
        <f>E8+K8</f>
        <v/>
      </c>
      <c r="M8" s="6" t="inlineStr">
        <is>
          <t>aktiv</t>
        </is>
      </c>
      <c r="N8" s="12" t="inlineStr">
        <is>
          <t>Comdirect</t>
        </is>
      </c>
      <c r="O8" s="13">
        <f>IFERROR(VLOOKUP(N8,$R$4:$S$9,2,FALSE),0)</f>
        <v/>
      </c>
      <c r="P8" s="13">
        <f>G8-O8</f>
        <v/>
      </c>
      <c r="R8" s="14" t="inlineStr">
        <is>
          <t>Comdirect</t>
        </is>
      </c>
      <c r="S8" s="15" t="n">
        <v>0.013</v>
      </c>
    </row>
    <row r="9">
      <c r="A9" s="16" t="n">
        <v>6</v>
      </c>
      <c r="B9" s="17" t="inlineStr">
        <is>
          <t>Julia Richter</t>
        </is>
      </c>
      <c r="C9" s="17" t="inlineStr">
        <is>
          <t>Schillerstraße 9, Leipzig</t>
        </is>
      </c>
      <c r="D9" s="17" t="inlineStr">
        <is>
          <t>EG</t>
        </is>
      </c>
      <c r="E9" s="7" t="n">
        <v>1350</v>
      </c>
      <c r="F9" s="38" t="n">
        <v>46068</v>
      </c>
      <c r="G9" s="9" t="n">
        <v>0.011</v>
      </c>
      <c r="H9" s="38" t="n">
        <v>46068</v>
      </c>
      <c r="I9" s="38" t="n">
        <v>46173</v>
      </c>
      <c r="J9" s="18">
        <f>IFERROR(I9-H9,0)</f>
        <v/>
      </c>
      <c r="K9" s="19">
        <f>ROUND(E9*G9*J9/360,2)</f>
        <v/>
      </c>
      <c r="L9" s="19">
        <f>E9+K9</f>
        <v/>
      </c>
      <c r="M9" s="17" t="inlineStr">
        <is>
          <t>gekündigt</t>
        </is>
      </c>
      <c r="N9" s="12" t="inlineStr">
        <is>
          <t>Sparkasse</t>
        </is>
      </c>
      <c r="O9" s="20">
        <f>IFERROR(VLOOKUP(N9,$R$4:$S$9,2,FALSE),0)</f>
        <v/>
      </c>
      <c r="P9" s="20">
        <f>G9-O9</f>
        <v/>
      </c>
      <c r="R9" s="21" t="inlineStr">
        <is>
          <t>DKB</t>
        </is>
      </c>
      <c r="S9" s="22" t="n">
        <v>0.012</v>
      </c>
    </row>
    <row r="10">
      <c r="A10" s="5" t="n">
        <v>7</v>
      </c>
      <c r="B10" s="6" t="inlineStr">
        <is>
          <t>Stefan Klein</t>
        </is>
      </c>
      <c r="C10" s="6" t="inlineStr">
        <is>
          <t>Bahnhofstraße 5, Berlin</t>
        </is>
      </c>
      <c r="D10" s="6" t="inlineStr">
        <is>
          <t>5.OG</t>
        </is>
      </c>
      <c r="E10" s="7" t="n">
        <v>1750</v>
      </c>
      <c r="F10" s="38" t="n">
        <v>46042</v>
      </c>
      <c r="G10" s="9" t="n">
        <v>0.015</v>
      </c>
      <c r="H10" s="38" t="n">
        <v>46042</v>
      </c>
      <c r="I10" s="38" t="n">
        <v>46387</v>
      </c>
      <c r="J10" s="10">
        <f>IFERROR(I10-H10,0)</f>
        <v/>
      </c>
      <c r="K10" s="11">
        <f>ROUND(E10*G10*J10/360,2)</f>
        <v/>
      </c>
      <c r="L10" s="11">
        <f>E10+K10</f>
        <v/>
      </c>
      <c r="M10" s="6" t="inlineStr">
        <is>
          <t>aktiv</t>
        </is>
      </c>
      <c r="N10" s="12" t="inlineStr">
        <is>
          <t>Volksbank</t>
        </is>
      </c>
      <c r="O10" s="13">
        <f>IFERROR(VLOOKUP(N10,$R$4:$S$9,2,FALSE),0)</f>
        <v/>
      </c>
      <c r="P10" s="13">
        <f>G10-O10</f>
        <v/>
      </c>
    </row>
    <row r="11">
      <c r="A11" s="16" t="n">
        <v>8</v>
      </c>
      <c r="B11" s="17" t="inlineStr">
        <is>
          <t>Nadine Brandt</t>
        </is>
      </c>
      <c r="C11" s="17" t="inlineStr">
        <is>
          <t>Ahornweg 11, München</t>
        </is>
      </c>
      <c r="D11" s="17" t="inlineStr">
        <is>
          <t>3.OG rechts</t>
        </is>
      </c>
      <c r="E11" s="7" t="n">
        <v>2250</v>
      </c>
      <c r="F11" s="38" t="n">
        <v>46096</v>
      </c>
      <c r="G11" s="9" t="n">
        <v>0.012</v>
      </c>
      <c r="H11" s="38" t="n">
        <v>46096</v>
      </c>
      <c r="I11" s="38" t="n">
        <v>46387</v>
      </c>
      <c r="J11" s="18">
        <f>IFERROR(I11-H11,0)</f>
        <v/>
      </c>
      <c r="K11" s="19">
        <f>ROUND(E11*G11*J11/360,2)</f>
        <v/>
      </c>
      <c r="L11" s="19">
        <f>E11+K11</f>
        <v/>
      </c>
      <c r="M11" s="17" t="inlineStr">
        <is>
          <t>aktiv</t>
        </is>
      </c>
      <c r="N11" s="12" t="inlineStr">
        <is>
          <t>Deutsche Bank</t>
        </is>
      </c>
      <c r="O11" s="20">
        <f>IFERROR(VLOOKUP(N11,$R$4:$S$9,2,FALSE),0)</f>
        <v/>
      </c>
      <c r="P11" s="20">
        <f>G11-O11</f>
        <v/>
      </c>
    </row>
    <row r="12">
      <c r="A12" s="5" t="n">
        <v>9</v>
      </c>
      <c r="B12" s="6" t="inlineStr">
        <is>
          <t>Frank Zimmermann</t>
        </is>
      </c>
      <c r="C12" s="6" t="inlineStr">
        <is>
          <t>Marktplatz 2, Köln</t>
        </is>
      </c>
      <c r="D12" s="6" t="inlineStr">
        <is>
          <t>1.OG links</t>
        </is>
      </c>
      <c r="E12" s="7" t="n">
        <v>1600</v>
      </c>
      <c r="F12" s="38" t="n">
        <v>46027</v>
      </c>
      <c r="G12" s="9" t="n">
        <v>0.01</v>
      </c>
      <c r="H12" s="38" t="n">
        <v>46027</v>
      </c>
      <c r="I12" s="38" t="n">
        <v>46142</v>
      </c>
      <c r="J12" s="10">
        <f>IFERROR(I12-H12,0)</f>
        <v/>
      </c>
      <c r="K12" s="11">
        <f>ROUND(E12*G12*J12/360,2)</f>
        <v/>
      </c>
      <c r="L12" s="11">
        <f>E12+K12</f>
        <v/>
      </c>
      <c r="M12" s="6" t="inlineStr">
        <is>
          <t>beendet</t>
        </is>
      </c>
      <c r="N12" s="12" t="inlineStr">
        <is>
          <t>ING</t>
        </is>
      </c>
      <c r="O12" s="13">
        <f>IFERROR(VLOOKUP(N12,$R$4:$S$9,2,FALSE),0)</f>
        <v/>
      </c>
      <c r="P12" s="13">
        <f>G12-O12</f>
        <v/>
      </c>
    </row>
    <row r="13">
      <c r="A13" s="23" t="n"/>
      <c r="B13" s="24" t="inlineStr">
        <is>
          <t>GESAMT</t>
        </is>
      </c>
      <c r="C13" s="23" t="n"/>
      <c r="D13" s="24" t="inlineStr"/>
      <c r="E13" s="25">
        <f>SUM(E4:E12)</f>
        <v/>
      </c>
      <c r="F13" s="23" t="n"/>
      <c r="G13" s="26">
        <f>AVERAGE(G4:G12)</f>
        <v/>
      </c>
      <c r="H13" s="23" t="n"/>
      <c r="I13" s="23" t="n"/>
      <c r="J13" s="23" t="n"/>
      <c r="K13" s="25">
        <f>SUM(K4:K12)</f>
        <v/>
      </c>
      <c r="L13" s="25">
        <f>SUM(L4:L12)</f>
        <v/>
      </c>
      <c r="M13" s="23" t="n"/>
      <c r="N13" s="23" t="n"/>
      <c r="O13" s="23" t="n"/>
      <c r="P13" s="23" t="n"/>
    </row>
  </sheetData>
  <mergeCells count="2">
    <mergeCell ref="A1:M1"/>
    <mergeCell ref="R2:S2"/>
  </mergeCells>
  <conditionalFormatting sqref="M4:M12">
    <cfRule type="expression" priority="1" dxfId="0" stopIfTrue="1">
      <formula>M4="aktiv"</formula>
    </cfRule>
    <cfRule type="expression" priority="2" dxfId="1" stopIfTrue="1">
      <formula>M4="beendet"</formula>
    </cfRule>
    <cfRule type="expression" priority="3" dxfId="2" stopIfTrue="1">
      <formula>M4="gekündigt"</formula>
    </cfRule>
  </conditionalFormatting>
  <conditionalFormatting sqref="P4:P12">
    <cfRule type="cellIs" priority="4" operator="lessThan" dxfId="2">
      <formula>0</formula>
    </cfRule>
    <cfRule type="cellIs" priority="5" operator="greaterThan" dxfId="0">
      <formula>0</formula>
    </cfRule>
  </conditionalFormatting>
  <dataValidations count="2">
    <dataValidation sqref="M4:M12" showErrorMessage="1" showInputMessage="1" allowBlank="1" type="list">
      <formula1>"aktiv,beendet,gekündigt"</formula1>
    </dataValidation>
    <dataValidation sqref="N4:N12" showErrorMessage="1" showInputMessage="1" allowBlank="1" type="list">
      <formula1>"Sparkasse,Volksbank,Deutsche Bank,ING,Comdirect,DKB"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</cols>
  <sheetData>
    <row r="1" ht="26" customHeight="1">
      <c r="A1" s="27" t="inlineStr">
        <is>
          <t>Auswertung Kautionskonten</t>
        </is>
      </c>
    </row>
    <row r="2"/>
    <row r="3">
      <c r="A3" s="4" t="inlineStr">
        <is>
          <t>Kennzahl</t>
        </is>
      </c>
      <c r="B3" s="4" t="inlineStr">
        <is>
          <t>Wert</t>
        </is>
      </c>
    </row>
    <row r="4">
      <c r="A4" s="6" t="inlineStr">
        <is>
          <t>Anzahl Kautionskonten</t>
        </is>
      </c>
      <c r="B4" s="28">
        <f>COUNTA('Kautionskonten'!B4:B12)</f>
        <v/>
      </c>
    </row>
    <row r="5">
      <c r="A5" s="17" t="inlineStr">
        <is>
          <t>Gesamtsumme Kautionen (€)</t>
        </is>
      </c>
      <c r="B5" s="29">
        <f>SUM('Kautionskonten'!E4:E12)</f>
        <v/>
      </c>
    </row>
    <row r="6">
      <c r="A6" s="6" t="inlineStr">
        <is>
          <t>Gesamtzinsen (€)</t>
        </is>
      </c>
      <c r="B6" s="30">
        <f>SUM('Kautionskonten'!K4:K12)</f>
        <v/>
      </c>
    </row>
    <row r="7">
      <c r="A7" s="17" t="inlineStr">
        <is>
          <t>Gesamt Kontostand inkl. Zinsen (€)</t>
        </is>
      </c>
      <c r="B7" s="29">
        <f>SUM('Kautionskonten'!L4:L12)</f>
        <v/>
      </c>
    </row>
    <row r="8">
      <c r="A8" s="6" t="inlineStr">
        <is>
          <t>Durchschnittlicher Zinssatz (%)</t>
        </is>
      </c>
      <c r="B8" s="31">
        <f>AVERAGE('Kautionskonten'!G4:G12)</f>
        <v/>
      </c>
    </row>
    <row r="9">
      <c r="A9" s="17" t="inlineStr">
        <is>
          <t>Anzahl aktive Konten</t>
        </is>
      </c>
      <c r="B9" s="32">
        <f>COUNTIF('Kautionskonten'!M4:M12,"aktiv")</f>
        <v/>
      </c>
    </row>
    <row r="10">
      <c r="A10" s="6" t="inlineStr">
        <is>
          <t>Anzahl beendete Konten</t>
        </is>
      </c>
      <c r="B10" s="28">
        <f>COUNTIF('Kautionskonten'!M4:M12,"beendet")</f>
        <v/>
      </c>
    </row>
    <row r="11">
      <c r="A11" s="17" t="inlineStr">
        <is>
          <t>Anzahl gekündigte Konten</t>
        </is>
      </c>
      <c r="B11" s="32">
        <f>COUNTIF('Kautionskonten'!M4:M12,"gekündigt")</f>
        <v/>
      </c>
    </row>
    <row r="12">
      <c r="A12" s="6" t="inlineStr">
        <is>
          <t>Höchste Kaution (€)</t>
        </is>
      </c>
      <c r="B12" s="30">
        <f>MAX('Kautionskonten'!E4:E12)</f>
        <v/>
      </c>
    </row>
    <row r="13">
      <c r="A13" s="17" t="inlineStr">
        <is>
          <t>Niedrigste Kaution (€)</t>
        </is>
      </c>
      <c r="B13" s="29">
        <f>MIN('Kautionskonten'!E4:E12)</f>
        <v/>
      </c>
    </row>
    <row r="14"/>
    <row r="15"/>
    <row r="16">
      <c r="A16" s="33" t="inlineStr">
        <is>
          <t>Status</t>
        </is>
      </c>
      <c r="B16" s="33" t="inlineStr">
        <is>
          <t>Anzahl</t>
        </is>
      </c>
    </row>
    <row r="17">
      <c r="A17" s="14" t="inlineStr">
        <is>
          <t>aktiv</t>
        </is>
      </c>
      <c r="B17" s="34">
        <f>COUNTIF('Kautionskonten'!M4:M12,"aktiv")</f>
        <v/>
      </c>
    </row>
    <row r="18">
      <c r="A18" s="21" t="inlineStr">
        <is>
          <t>beendet</t>
        </is>
      </c>
      <c r="B18" s="35">
        <f>COUNTIF('Kautionskonten'!M4:M12,"beendet")</f>
        <v/>
      </c>
    </row>
    <row r="19">
      <c r="A19" s="14" t="inlineStr">
        <is>
          <t>gekündigt</t>
        </is>
      </c>
      <c r="B19" s="34">
        <f>COUNTIF('Kautionskonten'!M4:M12,"gekündigt")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6" customHeight="1">
      <c r="A1" s="27" t="inlineStr">
        <is>
          <t>Anleitung zur Kautionskonto-Zinsabrechnung</t>
        </is>
      </c>
    </row>
    <row r="2"/>
    <row r="3">
      <c r="A3" s="4" t="inlineStr">
        <is>
          <t>Bereich</t>
        </is>
      </c>
      <c r="B3" s="4" t="inlineStr">
        <is>
          <t>Erläuterung</t>
        </is>
      </c>
    </row>
    <row r="4" ht="30" customHeight="1">
      <c r="A4" s="36" t="inlineStr">
        <is>
          <t>Kautionskonten</t>
        </is>
      </c>
      <c r="B4" s="6" t="inlineStr">
        <is>
          <t>Hauptübersicht aller Mietkautionskonten. Tragen Sie in den gelb hinterlegten Feldern Mieter, Kautionsbetrag, Kontoeröffnung, Zinssatz, Berechnungszeitraum, Status und Bank ein.</t>
        </is>
      </c>
    </row>
    <row r="5" ht="30" customHeight="1">
      <c r="A5" s="37" t="inlineStr">
        <is>
          <t>Kautionsbetrag</t>
        </is>
      </c>
      <c r="B5" s="17" t="inlineStr">
        <is>
          <t>Höhe der vom Mieter hinterlegten Kaution (max. 3 Kaltmieten gemäß § 551 BGB).</t>
        </is>
      </c>
    </row>
    <row r="6" ht="30" customHeight="1">
      <c r="A6" s="36" t="inlineStr">
        <is>
          <t>Zinssatz p.a.</t>
        </is>
      </c>
      <c r="B6" s="6" t="inlineStr">
        <is>
          <t>Vertraglich vereinbarter bzw. banküblicher Zinssatz für das Kautionskonto, als Prozentwert.</t>
        </is>
      </c>
    </row>
    <row r="7" ht="30" customHeight="1">
      <c r="A7" s="37" t="inlineStr">
        <is>
          <t>Tage</t>
        </is>
      </c>
      <c r="B7" s="17" t="inlineStr">
        <is>
          <t>Automatische Berechnung der Zinstage zwischen Beginn und Ende der Abrechnungsperiode (Spalte I minus Spalte H).</t>
        </is>
      </c>
    </row>
    <row r="8" ht="30" customHeight="1">
      <c r="A8" s="36" t="inlineStr">
        <is>
          <t>Zinsen (€)</t>
        </is>
      </c>
      <c r="B8" s="6" t="inlineStr">
        <is>
          <t>Berechnet nach der Formel Kautionsbetrag x Zinssatz x Tage / 360 (kaufmännische Zinsmethode).</t>
        </is>
      </c>
    </row>
    <row r="9" ht="30" customHeight="1">
      <c r="A9" s="37" t="inlineStr">
        <is>
          <t>Kontostand inkl. Zinsen</t>
        </is>
      </c>
      <c r="B9" s="17" t="inlineStr">
        <is>
          <t>Summe aus Kautionsbetrag und aufgelaufenen Zinsen – bei Auszug an den Mieter auszukehren.</t>
        </is>
      </c>
    </row>
    <row r="10" ht="30" customHeight="1">
      <c r="A10" s="36" t="inlineStr">
        <is>
          <t>Status</t>
        </is>
      </c>
      <c r="B10" s="6" t="inlineStr">
        <is>
          <t>Auswahl per Dropdown: aktiv, beendet oder gekündigt. Farbliche Kennzeichnung erfolgt automatisch.</t>
        </is>
      </c>
    </row>
    <row r="11" ht="30" customHeight="1">
      <c r="A11" s="37" t="inlineStr">
        <is>
          <t>Bank / Marktzins</t>
        </is>
      </c>
      <c r="B11" s="17" t="inlineStr">
        <is>
          <t>Dropdown-Auswahl der kontoführenden Bank. Der Marktzins wird per VLOOKUP aus der Vergleichstabelle rechts ermittelt.</t>
        </is>
      </c>
    </row>
    <row r="12" ht="30" customHeight="1">
      <c r="A12" s="36" t="inlineStr">
        <is>
          <t>Differenz z. Vertrag</t>
        </is>
      </c>
      <c r="B12" s="6" t="inlineStr">
        <is>
          <t>Vergleich zwischen Vertragszinssatz und aktuellem Marktzins zur Prüfung der Angemessenheit.</t>
        </is>
      </c>
    </row>
    <row r="13" ht="30" customHeight="1">
      <c r="A13" s="37" t="inlineStr">
        <is>
          <t>Auswertung</t>
        </is>
      </c>
      <c r="B13" s="17" t="inlineStr">
        <is>
          <t>Dashboard mit Kennzahlen, Balkendiagramm (Kaution/Zinsen je Mieter) und Kreisdiagramm (Status-Verteilung).</t>
        </is>
      </c>
    </row>
    <row r="14" ht="30" customHeight="1">
      <c r="A14" s="36" t="inlineStr">
        <is>
          <t>Rechtlicher Hinweis</t>
        </is>
      </c>
      <c r="B14" s="6" t="inlineStr">
        <is>
          <t>Die Kaution ist gemäß § 551 Abs. 3 BGB insolvenzfest und getrennt vom Vermögen des Vermieters anzulegen. Die Zinsen stehen grundsätzlich dem Mieter zu und erhöhen die Kaution.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2026-07-14T10:43:53Z</dcterms:created>
  <dcterms:modified xmlns:dcterms="http://purl.org/dc/terms/" xmlns:xsi="http://www.w3.org/2001/XMLSchema-instance" xsi:type="dcterms:W3CDTF">2026-07-14T10:43:53Z</dcterms:modified>
</cp:coreProperties>
</file>