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ktdaten &amp; Berechnung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\ &quot;€&quot;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sz val="10.5"/>
    </font>
    <font>
      <name val="Calibri"/>
      <b val="1"/>
      <color rgb="00FFFFFF"/>
      <sz val="11"/>
    </font>
    <font>
      <name val="Calibri"/>
      <b val="1"/>
      <sz val="10.5"/>
    </font>
    <font>
      <name val="Calibri"/>
      <b val="1"/>
      <color rgb="00FFFFFF"/>
      <sz val="10.5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2" fillId="0" borderId="0" pivotButton="0" quotePrefix="0" xfId="0"/>
    <xf numFmtId="0" fontId="4" fillId="0" borderId="0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2" fontId="2" fillId="0" borderId="1" pivotButton="0" quotePrefix="0" xfId="0"/>
    <xf numFmtId="3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 wrapText="1"/>
    </xf>
    <xf numFmtId="165" fontId="2" fillId="4" borderId="1" pivotButton="0" quotePrefix="0" xfId="0"/>
    <xf numFmtId="0" fontId="2" fillId="4" borderId="1" applyAlignment="1" pivotButton="0" quotePrefix="0" xfId="0">
      <alignment horizontal="center" vertical="center" wrapText="1"/>
    </xf>
    <xf numFmtId="2" fontId="2" fillId="3" borderId="1" applyAlignment="1" pivotButton="0" quotePrefix="0" xfId="0">
      <alignment horizontal="center" vertical="center" wrapText="1"/>
    </xf>
    <xf numFmtId="166" fontId="2" fillId="3" borderId="1" applyAlignment="1" pivotButton="0" quotePrefix="0" xfId="0">
      <alignment horizontal="center" vertical="center" wrapText="1"/>
    </xf>
    <xf numFmtId="165" fontId="2" fillId="3" borderId="1" pivotButton="0" quotePrefix="0" xfId="0"/>
    <xf numFmtId="3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 wrapText="1"/>
    </xf>
    <xf numFmtId="2" fontId="2" fillId="5" borderId="1" applyAlignment="1" pivotButton="0" quotePrefix="0" xfId="0">
      <alignment horizontal="center" vertical="center" wrapText="1"/>
    </xf>
    <xf numFmtId="166" fontId="2" fillId="5" borderId="1" applyAlignment="1" pivotButton="0" quotePrefix="0" xfId="0">
      <alignment horizontal="center" vertical="center" wrapText="1"/>
    </xf>
    <xf numFmtId="165" fontId="2" fillId="5" borderId="1" pivotButton="0" quotePrefix="0" xfId="0"/>
    <xf numFmtId="0" fontId="4" fillId="0" borderId="0" pivotButton="0" quotePrefix="0" xfId="0"/>
    <xf numFmtId="0" fontId="5" fillId="6" borderId="1" pivotButton="0" quotePrefix="0" xfId="0"/>
    <xf numFmtId="3" fontId="5" fillId="6" borderId="1" pivotButton="0" quotePrefix="0" xfId="0"/>
    <xf numFmtId="165" fontId="5" fillId="6" borderId="1" pivotButton="0" quotePrefix="0" xfId="0"/>
    <xf numFmtId="0" fontId="1" fillId="0" borderId="0" pivotButton="0" quotePrefix="0" xfId="0"/>
    <xf numFmtId="0" fontId="2" fillId="3" borderId="1" pivotButton="0" quotePrefix="0" xfId="0"/>
    <xf numFmtId="3" fontId="4" fillId="3" borderId="1" pivotButton="0" quotePrefix="0" xfId="0"/>
    <xf numFmtId="0" fontId="2" fillId="5" borderId="1" pivotButton="0" quotePrefix="0" xfId="0"/>
    <xf numFmtId="3" fontId="4" fillId="5" borderId="1" pivotButton="0" quotePrefix="0" xfId="0"/>
    <xf numFmtId="165" fontId="4" fillId="3" borderId="1" pivotButton="0" quotePrefix="0" xfId="0"/>
    <xf numFmtId="165" fontId="4" fillId="5" borderId="1" pivotButton="0" quotePrefix="0" xfId="0"/>
    <xf numFmtId="0" fontId="3" fillId="6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Rücklage Soll vs. Ist je Objekt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'Übersicht'!$D$4:$D$12</f>
            </numRef>
          </cat>
          <val>
            <numRef>
              <f>'Übersicht'!$E$4:$E$12</f>
            </numRef>
          </val>
        </ser>
        <ser>
          <idx val="1"/>
          <order val="1"/>
          <tx>
            <strRef>
              <f>'Übersicht'!F3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'Übersicht'!$D$4:$D$12</f>
            </numRef>
          </cat>
          <val>
            <numRef>
              <f>'Übersicht'!$F$4:$F$12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Rücklagen-Status</a:t>
            </a:r>
          </a:p>
        </rich>
      </tx>
    </title>
    <plotArea>
      <pieChart>
        <varyColors val="1"/>
        <ser>
          <idx val="0"/>
          <order val="0"/>
          <tx>
            <strRef>
              <f>'Übersicht'!E15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'Übersicht'!$D$16:$D$17</f>
            </numRef>
          </cat>
          <val>
            <numRef>
              <f>'Übersicht'!$E$16:$E$17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2" customWidth="1" min="2" max="2"/>
    <col width="30" customWidth="1" min="3" max="3"/>
    <col width="10" customWidth="1" min="4" max="4"/>
    <col width="12" customWidth="1" min="5" max="5"/>
    <col width="10" customWidth="1" min="6" max="6"/>
    <col width="15" customWidth="1" min="7" max="7"/>
    <col width="14" customWidth="1" min="8" max="8"/>
    <col width="10" customWidth="1" min="9" max="9"/>
    <col width="11" customWidth="1" min="10" max="10"/>
    <col width="13" customWidth="1" min="11" max="11"/>
    <col width="17" customWidth="1" min="12" max="12"/>
    <col width="16" customWidth="1" min="13" max="13"/>
    <col width="16" customWidth="1" min="14" max="14"/>
    <col width="16" customWidth="1" min="15" max="15"/>
    <col width="14" customWidth="1" min="16" max="16"/>
    <col width="14" customWidth="1" min="17" max="17"/>
    <col width="16" customWidth="1" min="18" max="18"/>
    <col width="3" customWidth="1" min="19" max="19"/>
    <col width="16" customWidth="1" min="20" max="20"/>
    <col width="9" customWidth="1" min="21" max="21"/>
  </cols>
  <sheetData>
    <row r="1">
      <c r="A1" s="1" t="inlineStr">
        <is>
          <t>Instandhaltungsrücklage – Berechnung nach Peters'scher Formel (WEG)</t>
        </is>
      </c>
    </row>
    <row r="2">
      <c r="A2" s="2" t="inlineStr">
        <is>
          <t>Stand:</t>
        </is>
      </c>
      <c r="B2" s="3">
        <f>TODAY()</f>
        <v/>
      </c>
      <c r="T2" s="4" t="inlineStr">
        <is>
          <t>Faktortabelle Ausstattungsstandard</t>
        </is>
      </c>
    </row>
    <row r="3">
      <c r="T3" s="5" t="inlineStr">
        <is>
          <t>Standard</t>
        </is>
      </c>
      <c r="U3" s="5" t="inlineStr">
        <is>
          <t>Faktor</t>
        </is>
      </c>
    </row>
    <row r="4" ht="42" customHeight="1">
      <c r="A4" s="6" t="inlineStr">
        <is>
          <t>Nr.</t>
        </is>
      </c>
      <c r="B4" s="6" t="inlineStr">
        <is>
          <t>WEG / Objekt</t>
        </is>
      </c>
      <c r="C4" s="6" t="inlineStr">
        <is>
          <t>Adresse</t>
        </is>
      </c>
      <c r="D4" s="6" t="inlineStr">
        <is>
          <t>Baujahr</t>
        </is>
      </c>
      <c r="E4" s="6" t="inlineStr">
        <is>
          <t>Wohnfläche
gesamt (m²)</t>
        </is>
      </c>
      <c r="F4" s="6" t="inlineStr">
        <is>
          <t>Anzahl
Einheiten</t>
        </is>
      </c>
      <c r="G4" s="6" t="inlineStr">
        <is>
          <t>Baukosten
pro m² Basis (€)</t>
        </is>
      </c>
      <c r="H4" s="6" t="inlineStr">
        <is>
          <t>Ausstattungs-
standard</t>
        </is>
      </c>
      <c r="I4" s="6" t="inlineStr">
        <is>
          <t>Faktor
Ausstattung</t>
        </is>
      </c>
      <c r="J4" s="6" t="inlineStr">
        <is>
          <t>Gebäude-
alter (Jahre)</t>
        </is>
      </c>
      <c r="K4" s="6" t="inlineStr">
        <is>
          <t>Instandhaltungs-
satz p.a. (%)</t>
        </is>
      </c>
      <c r="L4" s="6" t="inlineStr">
        <is>
          <t>Gesamtherstellungs-
kosten (€)</t>
        </is>
      </c>
      <c r="M4" s="6" t="inlineStr">
        <is>
          <t>Jährliche Rücklage
Soll (€)</t>
        </is>
      </c>
      <c r="N4" s="6" t="inlineStr">
        <is>
          <t>Monatliche Rücklage
je m² (€)</t>
        </is>
      </c>
      <c r="O4" s="6" t="inlineStr">
        <is>
          <t>Aktuelle Rücklage
Ist-Stand (€)</t>
        </is>
      </c>
      <c r="P4" s="6" t="inlineStr">
        <is>
          <t>Zielrücklage
5 Jahre (€)</t>
        </is>
      </c>
      <c r="Q4" s="6" t="inlineStr">
        <is>
          <t>Differenz
Ist-Ziel (€)</t>
        </is>
      </c>
      <c r="R4" s="6" t="inlineStr">
        <is>
          <t>Status</t>
        </is>
      </c>
      <c r="T4" s="7" t="inlineStr">
        <is>
          <t>Einfach</t>
        </is>
      </c>
      <c r="U4" s="8" t="n">
        <v>0.9</v>
      </c>
    </row>
    <row r="5">
      <c r="A5" s="9" t="n">
        <v>1</v>
      </c>
      <c r="B5" s="10" t="inlineStr">
        <is>
          <t>WEG Lindenallee 7</t>
        </is>
      </c>
      <c r="C5" s="10" t="inlineStr">
        <is>
          <t>Lindenallee 7, Berlin</t>
        </is>
      </c>
      <c r="D5" s="11" t="n">
        <v>1998</v>
      </c>
      <c r="E5" s="9" t="n">
        <v>1240</v>
      </c>
      <c r="F5" s="9" t="n">
        <v>18</v>
      </c>
      <c r="G5" s="12" t="n">
        <v>1650</v>
      </c>
      <c r="H5" s="13" t="inlineStr">
        <is>
          <t>Mittel</t>
        </is>
      </c>
      <c r="I5" s="14">
        <f>IFERROR(VLOOKUP(H5,$T$4:$U$6,2,FALSE),1)</f>
        <v/>
      </c>
      <c r="J5" s="9">
        <f>YEAR(TODAY())-D5</f>
        <v/>
      </c>
      <c r="K5" s="15">
        <f>IF(J5&lt;22,0.015,IF(J5&lt;=32,0.02,0.015))</f>
        <v/>
      </c>
      <c r="L5" s="16">
        <f>E5*G5*I5</f>
        <v/>
      </c>
      <c r="M5" s="16">
        <f>L5*K5</f>
        <v/>
      </c>
      <c r="N5" s="16">
        <f>IFERROR(M5/E5/12,0)</f>
        <v/>
      </c>
      <c r="O5" s="12" t="n">
        <v>850000</v>
      </c>
      <c r="P5" s="16">
        <f>M5*5</f>
        <v/>
      </c>
      <c r="Q5" s="16">
        <f>O5-P5</f>
        <v/>
      </c>
      <c r="R5" s="11">
        <f>IF(Q5&gt;=0,"Ausreichend","Nachschuss nötig")</f>
        <v/>
      </c>
      <c r="T5" s="7" t="inlineStr">
        <is>
          <t>Mittel</t>
        </is>
      </c>
      <c r="U5" s="8" t="n">
        <v>1</v>
      </c>
    </row>
    <row r="6">
      <c r="A6" s="17" t="n">
        <v>2</v>
      </c>
      <c r="B6" s="18" t="inlineStr">
        <is>
          <t>WEG Goethestraße 45</t>
        </is>
      </c>
      <c r="C6" s="18" t="inlineStr">
        <is>
          <t>Goethestraße 45, München</t>
        </is>
      </c>
      <c r="D6" s="19" t="n">
        <v>1975</v>
      </c>
      <c r="E6" s="17" t="n">
        <v>980</v>
      </c>
      <c r="F6" s="17" t="n">
        <v>14</v>
      </c>
      <c r="G6" s="12" t="n">
        <v>1800</v>
      </c>
      <c r="H6" s="13" t="inlineStr">
        <is>
          <t>Gehoben</t>
        </is>
      </c>
      <c r="I6" s="20">
        <f>IFERROR(VLOOKUP(H6,$T$4:$U$6,2,FALSE),1)</f>
        <v/>
      </c>
      <c r="J6" s="17">
        <f>YEAR(TODAY())-D6</f>
        <v/>
      </c>
      <c r="K6" s="21">
        <f>IF(J6&lt;22,0.015,IF(J6&lt;=32,0.02,0.015))</f>
        <v/>
      </c>
      <c r="L6" s="22">
        <f>E6*G6*I6</f>
        <v/>
      </c>
      <c r="M6" s="22">
        <f>L6*K6</f>
        <v/>
      </c>
      <c r="N6" s="22">
        <f>IFERROR(M6/E6/12,0)</f>
        <v/>
      </c>
      <c r="O6" s="12" t="n">
        <v>620000</v>
      </c>
      <c r="P6" s="22">
        <f>M6*5</f>
        <v/>
      </c>
      <c r="Q6" s="22">
        <f>O6-P6</f>
        <v/>
      </c>
      <c r="R6" s="19">
        <f>IF(Q6&gt;=0,"Ausreichend","Nachschuss nötig")</f>
        <v/>
      </c>
      <c r="T6" s="7" t="inlineStr">
        <is>
          <t>Gehoben</t>
        </is>
      </c>
      <c r="U6" s="8" t="n">
        <v>1.15</v>
      </c>
    </row>
    <row r="7">
      <c r="A7" s="9" t="n">
        <v>3</v>
      </c>
      <c r="B7" s="10" t="inlineStr">
        <is>
          <t>WEG Hauptstraße 12</t>
        </is>
      </c>
      <c r="C7" s="10" t="inlineStr">
        <is>
          <t>Hauptstraße 12, Hamburg</t>
        </is>
      </c>
      <c r="D7" s="11" t="n">
        <v>2010</v>
      </c>
      <c r="E7" s="9" t="n">
        <v>2100</v>
      </c>
      <c r="F7" s="9" t="n">
        <v>24</v>
      </c>
      <c r="G7" s="12" t="n">
        <v>1550</v>
      </c>
      <c r="H7" s="13" t="inlineStr">
        <is>
          <t>Mittel</t>
        </is>
      </c>
      <c r="I7" s="14">
        <f>IFERROR(VLOOKUP(H7,$T$4:$U$6,2,FALSE),1)</f>
        <v/>
      </c>
      <c r="J7" s="9">
        <f>YEAR(TODAY())-D7</f>
        <v/>
      </c>
      <c r="K7" s="15">
        <f>IF(J7&lt;22,0.015,IF(J7&lt;=32,0.02,0.015))</f>
        <v/>
      </c>
      <c r="L7" s="16">
        <f>E7*G7*I7</f>
        <v/>
      </c>
      <c r="M7" s="16">
        <f>L7*K7</f>
        <v/>
      </c>
      <c r="N7" s="16">
        <f>IFERROR(M7/E7/12,0)</f>
        <v/>
      </c>
      <c r="O7" s="12" t="n">
        <v>410000</v>
      </c>
      <c r="P7" s="16">
        <f>M7*5</f>
        <v/>
      </c>
      <c r="Q7" s="16">
        <f>O7-P7</f>
        <v/>
      </c>
      <c r="R7" s="11">
        <f>IF(Q7&gt;=0,"Ausreichend","Nachschuss nötig")</f>
        <v/>
      </c>
    </row>
    <row r="8">
      <c r="A8" s="17" t="n">
        <v>4</v>
      </c>
      <c r="B8" s="18" t="inlineStr">
        <is>
          <t>WEG Rosenweg 3</t>
        </is>
      </c>
      <c r="C8" s="18" t="inlineStr">
        <is>
          <t>Rosenweg 3, Köln</t>
        </is>
      </c>
      <c r="D8" s="19" t="n">
        <v>1988</v>
      </c>
      <c r="E8" s="17" t="n">
        <v>1450</v>
      </c>
      <c r="F8" s="17" t="n">
        <v>20</v>
      </c>
      <c r="G8" s="12" t="n">
        <v>1500</v>
      </c>
      <c r="H8" s="13" t="inlineStr">
        <is>
          <t>Einfach</t>
        </is>
      </c>
      <c r="I8" s="20">
        <f>IFERROR(VLOOKUP(H8,$T$4:$U$6,2,FALSE),1)</f>
        <v/>
      </c>
      <c r="J8" s="17">
        <f>YEAR(TODAY())-D8</f>
        <v/>
      </c>
      <c r="K8" s="21">
        <f>IF(J8&lt;22,0.015,IF(J8&lt;=32,0.02,0.015))</f>
        <v/>
      </c>
      <c r="L8" s="22">
        <f>E8*G8*I8</f>
        <v/>
      </c>
      <c r="M8" s="22">
        <f>L8*K8</f>
        <v/>
      </c>
      <c r="N8" s="22">
        <f>IFERROR(M8/E8/12,0)</f>
        <v/>
      </c>
      <c r="O8" s="12" t="n">
        <v>700000</v>
      </c>
      <c r="P8" s="22">
        <f>M8*5</f>
        <v/>
      </c>
      <c r="Q8" s="22">
        <f>O8-P8</f>
        <v/>
      </c>
      <c r="R8" s="19">
        <f>IF(Q8&gt;=0,"Ausreichend","Nachschuss nötig")</f>
        <v/>
      </c>
      <c r="T8" s="23" t="inlineStr">
        <is>
          <t>Hinweis: Peters'sche Formel</t>
        </is>
      </c>
    </row>
    <row r="9">
      <c r="A9" s="9" t="n">
        <v>5</v>
      </c>
      <c r="B9" s="10" t="inlineStr">
        <is>
          <t>WEG Bahnhofstraße 9</t>
        </is>
      </c>
      <c r="C9" s="10" t="inlineStr">
        <is>
          <t>Bahnhofstraße 9, Frankfurt am Main</t>
        </is>
      </c>
      <c r="D9" s="11" t="n">
        <v>1965</v>
      </c>
      <c r="E9" s="9" t="n">
        <v>1120</v>
      </c>
      <c r="F9" s="9" t="n">
        <v>16</v>
      </c>
      <c r="G9" s="12" t="n">
        <v>1900</v>
      </c>
      <c r="H9" s="13" t="inlineStr">
        <is>
          <t>Gehoben</t>
        </is>
      </c>
      <c r="I9" s="14">
        <f>IFERROR(VLOOKUP(H9,$T$4:$U$6,2,FALSE),1)</f>
        <v/>
      </c>
      <c r="J9" s="9">
        <f>YEAR(TODAY())-D9</f>
        <v/>
      </c>
      <c r="K9" s="15">
        <f>IF(J9&lt;22,0.015,IF(J9&lt;=32,0.02,0.015))</f>
        <v/>
      </c>
      <c r="L9" s="16">
        <f>E9*G9*I9</f>
        <v/>
      </c>
      <c r="M9" s="16">
        <f>L9*K9</f>
        <v/>
      </c>
      <c r="N9" s="16">
        <f>IFERROR(M9/E9/12,0)</f>
        <v/>
      </c>
      <c r="O9" s="12" t="n">
        <v>540000</v>
      </c>
      <c r="P9" s="16">
        <f>M9*5</f>
        <v/>
      </c>
      <c r="Q9" s="16">
        <f>O9-P9</f>
        <v/>
      </c>
      <c r="R9" s="11">
        <f>IF(Q9&gt;=0,"Ausreichend","Nachschuss nötig")</f>
        <v/>
      </c>
      <c r="T9" s="2" t="inlineStr">
        <is>
          <t>&lt; 22 Jahre: 1,5% p.a.</t>
        </is>
      </c>
    </row>
    <row r="10">
      <c r="A10" s="17" t="n">
        <v>6</v>
      </c>
      <c r="B10" s="18" t="inlineStr">
        <is>
          <t>WEG Schillerplatz 2</t>
        </is>
      </c>
      <c r="C10" s="18" t="inlineStr">
        <is>
          <t>Schillerplatz 2, Leipzig</t>
        </is>
      </c>
      <c r="D10" s="19" t="n">
        <v>2005</v>
      </c>
      <c r="E10" s="17" t="n">
        <v>890</v>
      </c>
      <c r="F10" s="17" t="n">
        <v>12</v>
      </c>
      <c r="G10" s="12" t="n">
        <v>1450</v>
      </c>
      <c r="H10" s="13" t="inlineStr">
        <is>
          <t>Mittel</t>
        </is>
      </c>
      <c r="I10" s="20">
        <f>IFERROR(VLOOKUP(H10,$T$4:$U$6,2,FALSE),1)</f>
        <v/>
      </c>
      <c r="J10" s="17">
        <f>YEAR(TODAY())-D10</f>
        <v/>
      </c>
      <c r="K10" s="21">
        <f>IF(J10&lt;22,0.015,IF(J10&lt;=32,0.02,0.015))</f>
        <v/>
      </c>
      <c r="L10" s="22">
        <f>E10*G10*I10</f>
        <v/>
      </c>
      <c r="M10" s="22">
        <f>L10*K10</f>
        <v/>
      </c>
      <c r="N10" s="22">
        <f>IFERROR(M10/E10/12,0)</f>
        <v/>
      </c>
      <c r="O10" s="12" t="n">
        <v>320000</v>
      </c>
      <c r="P10" s="22">
        <f>M10*5</f>
        <v/>
      </c>
      <c r="Q10" s="22">
        <f>O10-P10</f>
        <v/>
      </c>
      <c r="R10" s="19">
        <f>IF(Q10&gt;=0,"Ausreichend","Nachschuss nötig")</f>
        <v/>
      </c>
      <c r="T10" s="2" t="inlineStr">
        <is>
          <t>22–32 Jahre: 2,0% p.a.</t>
        </is>
      </c>
    </row>
    <row r="11">
      <c r="A11" s="9" t="n">
        <v>7</v>
      </c>
      <c r="B11" s="10" t="inlineStr">
        <is>
          <t>WEG Parkstraße 18</t>
        </is>
      </c>
      <c r="C11" s="10" t="inlineStr">
        <is>
          <t>Parkstraße 18, Berlin</t>
        </is>
      </c>
      <c r="D11" s="11" t="n">
        <v>1992</v>
      </c>
      <c r="E11" s="9" t="n">
        <v>1560</v>
      </c>
      <c r="F11" s="9" t="n">
        <v>22</v>
      </c>
      <c r="G11" s="12" t="n">
        <v>1600</v>
      </c>
      <c r="H11" s="13" t="inlineStr">
        <is>
          <t>Mittel</t>
        </is>
      </c>
      <c r="I11" s="14">
        <f>IFERROR(VLOOKUP(H11,$T$4:$U$6,2,FALSE),1)</f>
        <v/>
      </c>
      <c r="J11" s="9">
        <f>YEAR(TODAY())-D11</f>
        <v/>
      </c>
      <c r="K11" s="15">
        <f>IF(J11&lt;22,0.015,IF(J11&lt;=32,0.02,0.015))</f>
        <v/>
      </c>
      <c r="L11" s="16">
        <f>E11*G11*I11</f>
        <v/>
      </c>
      <c r="M11" s="16">
        <f>L11*K11</f>
        <v/>
      </c>
      <c r="N11" s="16">
        <f>IFERROR(M11/E11/12,0)</f>
        <v/>
      </c>
      <c r="O11" s="12" t="n">
        <v>780000</v>
      </c>
      <c r="P11" s="16">
        <f>M11*5</f>
        <v/>
      </c>
      <c r="Q11" s="16">
        <f>O11-P11</f>
        <v/>
      </c>
      <c r="R11" s="11">
        <f>IF(Q11&gt;=0,"Ausreichend","Nachschuss nötig")</f>
        <v/>
      </c>
      <c r="T11" s="2" t="inlineStr">
        <is>
          <t>&gt; 32 Jahre: 1,5% p.a.</t>
        </is>
      </c>
    </row>
    <row r="12">
      <c r="A12" s="17" t="n">
        <v>8</v>
      </c>
      <c r="B12" s="18" t="inlineStr">
        <is>
          <t>WEG Amselweg 6</t>
        </is>
      </c>
      <c r="C12" s="18" t="inlineStr">
        <is>
          <t>Amselweg 6, Stuttgart</t>
        </is>
      </c>
      <c r="D12" s="19" t="n">
        <v>1980</v>
      </c>
      <c r="E12" s="17" t="n">
        <v>1330</v>
      </c>
      <c r="F12" s="17" t="n">
        <v>19</v>
      </c>
      <c r="G12" s="12" t="n">
        <v>1750</v>
      </c>
      <c r="H12" s="13" t="inlineStr">
        <is>
          <t>Einfach</t>
        </is>
      </c>
      <c r="I12" s="20">
        <f>IFERROR(VLOOKUP(H12,$T$4:$U$6,2,FALSE),1)</f>
        <v/>
      </c>
      <c r="J12" s="17">
        <f>YEAR(TODAY())-D12</f>
        <v/>
      </c>
      <c r="K12" s="21">
        <f>IF(J12&lt;22,0.015,IF(J12&lt;=32,0.02,0.015))</f>
        <v/>
      </c>
      <c r="L12" s="22">
        <f>E12*G12*I12</f>
        <v/>
      </c>
      <c r="M12" s="22">
        <f>L12*K12</f>
        <v/>
      </c>
      <c r="N12" s="22">
        <f>IFERROR(M12/E12/12,0)</f>
        <v/>
      </c>
      <c r="O12" s="12" t="n">
        <v>460000</v>
      </c>
      <c r="P12" s="22">
        <f>M12*5</f>
        <v/>
      </c>
      <c r="Q12" s="22">
        <f>O12-P12</f>
        <v/>
      </c>
      <c r="R12" s="19">
        <f>IF(Q12&gt;=0,"Ausreichend","Nachschuss nötig")</f>
        <v/>
      </c>
    </row>
    <row r="13">
      <c r="A13" s="9" t="n">
        <v>9</v>
      </c>
      <c r="B13" s="10" t="inlineStr">
        <is>
          <t>WEG Kirchgasse 21</t>
        </is>
      </c>
      <c r="C13" s="10" t="inlineStr">
        <is>
          <t>Kirchgasse 21, Dresden</t>
        </is>
      </c>
      <c r="D13" s="11" t="n">
        <v>2015</v>
      </c>
      <c r="E13" s="9" t="n">
        <v>990</v>
      </c>
      <c r="F13" s="9" t="n">
        <v>15</v>
      </c>
      <c r="G13" s="12" t="n">
        <v>1500</v>
      </c>
      <c r="H13" s="13" t="inlineStr">
        <is>
          <t>Mittel</t>
        </is>
      </c>
      <c r="I13" s="14">
        <f>IFERROR(VLOOKUP(H13,$T$4:$U$6,2,FALSE),1)</f>
        <v/>
      </c>
      <c r="J13" s="9">
        <f>YEAR(TODAY())-D13</f>
        <v/>
      </c>
      <c r="K13" s="15">
        <f>IF(J13&lt;22,0.015,IF(J13&lt;=32,0.02,0.015))</f>
        <v/>
      </c>
      <c r="L13" s="16">
        <f>E13*G13*I13</f>
        <v/>
      </c>
      <c r="M13" s="16">
        <f>L13*K13</f>
        <v/>
      </c>
      <c r="N13" s="16">
        <f>IFERROR(M13/E13/12,0)</f>
        <v/>
      </c>
      <c r="O13" s="12" t="n">
        <v>380000</v>
      </c>
      <c r="P13" s="16">
        <f>M13*5</f>
        <v/>
      </c>
      <c r="Q13" s="16">
        <f>O13-P13</f>
        <v/>
      </c>
      <c r="R13" s="11">
        <f>IF(Q13&gt;=0,"Ausreichend","Nachschuss nötig")</f>
        <v/>
      </c>
    </row>
    <row r="14">
      <c r="A14" s="24" t="n"/>
      <c r="B14" s="24" t="inlineStr">
        <is>
          <t>Gesamt / Durchschnitt</t>
        </is>
      </c>
      <c r="C14" s="24" t="n"/>
      <c r="D14" s="24" t="n"/>
      <c r="E14" s="25">
        <f>SUM(E5:E13)</f>
        <v/>
      </c>
      <c r="F14" s="25">
        <f>SUM(F5:F13)</f>
        <v/>
      </c>
      <c r="G14" s="24" t="n"/>
      <c r="H14" s="24" t="n"/>
      <c r="I14" s="24" t="n"/>
      <c r="J14" s="24" t="n"/>
      <c r="K14" s="24" t="n"/>
      <c r="L14" s="26">
        <f>SUM(L5:L13)</f>
        <v/>
      </c>
      <c r="M14" s="26">
        <f>SUM(M5:M13)</f>
        <v/>
      </c>
      <c r="N14" s="26">
        <f>IFERROR(AVERAGE(N5:N13),0)</f>
        <v/>
      </c>
      <c r="O14" s="26">
        <f>SUM(O5:O13)</f>
        <v/>
      </c>
      <c r="P14" s="26">
        <f>SUM(P5:P13)</f>
        <v/>
      </c>
      <c r="Q14" s="26">
        <f>SUM(Q5:Q13)</f>
        <v/>
      </c>
      <c r="R14" s="24">
        <f>CONCATENATE(COUNTIF(R5:R13,"Nachschuss nötig"),"x Nachschuss")</f>
        <v/>
      </c>
    </row>
  </sheetData>
  <mergeCells count="2">
    <mergeCell ref="A1:R1"/>
    <mergeCell ref="T2:U2"/>
  </mergeCells>
  <conditionalFormatting sqref="R5:R13">
    <cfRule type="expression" priority="1" dxfId="0" stopIfTrue="1">
      <formula>R5="Ausreichend"</formula>
    </cfRule>
    <cfRule type="expression" priority="2" dxfId="1" stopIfTrue="1">
      <formula>R5="Nachschuss nötig"</formula>
    </cfRule>
  </conditionalFormatting>
  <dataValidations count="1">
    <dataValidation sqref="H5:H13" showErrorMessage="1" showInputMessage="1" allowBlank="0" type="list">
      <formula1>"Einfach,Mittel,Gehoben"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4" customWidth="1" min="4" max="4"/>
    <col width="18" customWidth="1" min="5" max="5"/>
    <col width="18" customWidth="1" min="6" max="6"/>
  </cols>
  <sheetData>
    <row r="1">
      <c r="A1" s="27" t="inlineStr">
        <is>
          <t>Übersicht &amp; Auswertung Instandhaltungsrücklage</t>
        </is>
      </c>
    </row>
    <row r="2"/>
    <row r="3">
      <c r="A3" s="6" t="inlineStr">
        <is>
          <t>Kennzahl</t>
        </is>
      </c>
      <c r="B3" s="6" t="inlineStr">
        <is>
          <t>Wert</t>
        </is>
      </c>
      <c r="D3" s="6" t="inlineStr">
        <is>
          <t>Objekt</t>
        </is>
      </c>
      <c r="E3" s="6" t="inlineStr">
        <is>
          <t>Rücklage Soll (€)</t>
        </is>
      </c>
      <c r="F3" s="6" t="inlineStr">
        <is>
          <t>Rücklage Ist (€)</t>
        </is>
      </c>
    </row>
    <row r="4">
      <c r="A4" s="28" t="inlineStr">
        <is>
          <t>Anzahl Objekte (WEG)</t>
        </is>
      </c>
      <c r="B4" s="29">
        <f>COUNTA('Objektdaten &amp; Berechnung'!B5:B13)</f>
        <v/>
      </c>
      <c r="D4" s="28">
        <f>'Objektdaten &amp; Berechnung'!B5</f>
        <v/>
      </c>
      <c r="E4" s="16">
        <f>'Objektdaten &amp; Berechnung'!M5</f>
        <v/>
      </c>
      <c r="F4" s="16">
        <f>'Objektdaten &amp; Berechnung'!O5</f>
        <v/>
      </c>
    </row>
    <row r="5">
      <c r="A5" s="30" t="inlineStr">
        <is>
          <t>Gesamt Wohnfläche (m²)</t>
        </is>
      </c>
      <c r="B5" s="31">
        <f>'Objektdaten &amp; Berechnung'!E14</f>
        <v/>
      </c>
      <c r="D5" s="30">
        <f>'Objektdaten &amp; Berechnung'!B6</f>
        <v/>
      </c>
      <c r="E5" s="22">
        <f>'Objektdaten &amp; Berechnung'!M6</f>
        <v/>
      </c>
      <c r="F5" s="22">
        <f>'Objektdaten &amp; Berechnung'!O6</f>
        <v/>
      </c>
    </row>
    <row r="6">
      <c r="A6" s="28" t="inlineStr">
        <is>
          <t>Jährliche Rücklage Soll gesamt (€)</t>
        </is>
      </c>
      <c r="B6" s="32">
        <f>'Objektdaten &amp; Berechnung'!M14</f>
        <v/>
      </c>
      <c r="D6" s="28">
        <f>'Objektdaten &amp; Berechnung'!B7</f>
        <v/>
      </c>
      <c r="E6" s="16">
        <f>'Objektdaten &amp; Berechnung'!M7</f>
        <v/>
      </c>
      <c r="F6" s="16">
        <f>'Objektdaten &amp; Berechnung'!O7</f>
        <v/>
      </c>
    </row>
    <row r="7">
      <c r="A7" s="30" t="inlineStr">
        <is>
          <t>Aktuelle Rücklage Ist gesamt (€)</t>
        </is>
      </c>
      <c r="B7" s="33">
        <f>'Objektdaten &amp; Berechnung'!O14</f>
        <v/>
      </c>
      <c r="D7" s="30">
        <f>'Objektdaten &amp; Berechnung'!B8</f>
        <v/>
      </c>
      <c r="E7" s="22">
        <f>'Objektdaten &amp; Berechnung'!M8</f>
        <v/>
      </c>
      <c r="F7" s="22">
        <f>'Objektdaten &amp; Berechnung'!O8</f>
        <v/>
      </c>
    </row>
    <row r="8">
      <c r="A8" s="28" t="inlineStr">
        <is>
          <t>Zielrücklage 5 Jahre gesamt (€)</t>
        </is>
      </c>
      <c r="B8" s="32">
        <f>'Objektdaten &amp; Berechnung'!P14</f>
        <v/>
      </c>
      <c r="D8" s="28">
        <f>'Objektdaten &amp; Berechnung'!B9</f>
        <v/>
      </c>
      <c r="E8" s="16">
        <f>'Objektdaten &amp; Berechnung'!M9</f>
        <v/>
      </c>
      <c r="F8" s="16">
        <f>'Objektdaten &amp; Berechnung'!O9</f>
        <v/>
      </c>
    </row>
    <row r="9">
      <c r="A9" s="30" t="inlineStr">
        <is>
          <t>Differenz Ist-Ziel gesamt (€)</t>
        </is>
      </c>
      <c r="B9" s="33">
        <f>'Objektdaten &amp; Berechnung'!Q14</f>
        <v/>
      </c>
      <c r="D9" s="30">
        <f>'Objektdaten &amp; Berechnung'!B10</f>
        <v/>
      </c>
      <c r="E9" s="22">
        <f>'Objektdaten &amp; Berechnung'!M10</f>
        <v/>
      </c>
      <c r="F9" s="22">
        <f>'Objektdaten &amp; Berechnung'!O10</f>
        <v/>
      </c>
    </row>
    <row r="10">
      <c r="A10" s="28" t="inlineStr">
        <is>
          <t>Ø Monatliche Rücklage je m² (€)</t>
        </is>
      </c>
      <c r="B10" s="32">
        <f>'Objektdaten &amp; Berechnung'!N14</f>
        <v/>
      </c>
      <c r="D10" s="28">
        <f>'Objektdaten &amp; Berechnung'!B11</f>
        <v/>
      </c>
      <c r="E10" s="16">
        <f>'Objektdaten &amp; Berechnung'!M11</f>
        <v/>
      </c>
      <c r="F10" s="16">
        <f>'Objektdaten &amp; Berechnung'!O11</f>
        <v/>
      </c>
    </row>
    <row r="11">
      <c r="A11" s="30" t="inlineStr">
        <is>
          <t>Objekte mit Nachschussbedarf</t>
        </is>
      </c>
      <c r="B11" s="31">
        <f>COUNTIF('Objektdaten &amp; Berechnung'!R5:R13,"Nachschuss nötig")</f>
        <v/>
      </c>
      <c r="D11" s="30">
        <f>'Objektdaten &amp; Berechnung'!B12</f>
        <v/>
      </c>
      <c r="E11" s="22">
        <f>'Objektdaten &amp; Berechnung'!M12</f>
        <v/>
      </c>
      <c r="F11" s="22">
        <f>'Objektdaten &amp; Berechnung'!O12</f>
        <v/>
      </c>
    </row>
    <row r="12">
      <c r="D12" s="28">
        <f>'Objektdaten &amp; Berechnung'!B13</f>
        <v/>
      </c>
      <c r="E12" s="16">
        <f>'Objektdaten &amp; Berechnung'!M13</f>
        <v/>
      </c>
      <c r="F12" s="16">
        <f>'Objektdaten &amp; Berechnung'!O13</f>
        <v/>
      </c>
    </row>
    <row r="13"/>
    <row r="14"/>
    <row r="15">
      <c r="D15" s="6" t="inlineStr">
        <is>
          <t>Status</t>
        </is>
      </c>
      <c r="E15" s="6" t="inlineStr">
        <is>
          <t>Anzahl</t>
        </is>
      </c>
    </row>
    <row r="16">
      <c r="D16" s="28" t="inlineStr">
        <is>
          <t>Ausreichend</t>
        </is>
      </c>
      <c r="E16" s="28">
        <f>COUNTIF('Objektdaten &amp; Berechnung'!R5:R13,"Ausreichend")</f>
        <v/>
      </c>
    </row>
    <row r="17">
      <c r="D17" s="28" t="inlineStr">
        <is>
          <t>Nachschuss nötig</t>
        </is>
      </c>
      <c r="E17" s="28">
        <f>COUNTIF('Objektdaten &amp; Berechnung'!R5:R13,"Nachschuss nötig")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27" t="inlineStr">
        <is>
          <t>Anleitung zur Instandhaltungsrücklage-Vorlage</t>
        </is>
      </c>
    </row>
    <row r="2"/>
    <row r="3">
      <c r="A3" s="2" t="inlineStr">
        <is>
          <t>Diese Excel-Vorlage unterstützt Hausverwalter, WEG-Eigentümer und Kapitalanleger bei der</t>
        </is>
      </c>
    </row>
    <row r="4">
      <c r="A4" s="2" t="inlineStr">
        <is>
          <t>Berechnung der angemessenen Instandhaltungsrücklage nach der bewährten Peters'schen Formel.</t>
        </is>
      </c>
    </row>
    <row r="5">
      <c r="A5" s="2" t="inlineStr">
        <is>
          <t>Tragen Sie Ihre Objektdaten in das Tabellenblatt 'Objektdaten &amp; Berechnung' ein – alle grün</t>
        </is>
      </c>
    </row>
    <row r="6">
      <c r="A6" s="2" t="inlineStr">
        <is>
          <t>hinterlegten Felder (gelb markiert) sind Eingabefelder, alle anderen Felder werden automatisch</t>
        </is>
      </c>
    </row>
    <row r="7">
      <c r="A7" s="2" t="inlineStr">
        <is>
          <t>berechnet.</t>
        </is>
      </c>
    </row>
    <row r="8"/>
    <row r="9">
      <c r="A9" s="34" t="inlineStr">
        <is>
          <t>Spaltenerklärung – Objektdaten &amp; Berechnung</t>
        </is>
      </c>
    </row>
    <row r="10">
      <c r="A10" s="35" t="inlineStr">
        <is>
          <t>WEG / Objekt</t>
        </is>
      </c>
      <c r="B10" s="36" t="inlineStr">
        <is>
          <t>Name bzw. Bezeichnung der Wohnungseigentümergemeinschaft.</t>
        </is>
      </c>
    </row>
    <row r="11">
      <c r="A11" s="35" t="inlineStr">
        <is>
          <t>Adresse</t>
        </is>
      </c>
      <c r="B11" s="36" t="inlineStr">
        <is>
          <t>Straße, Hausnummer und Ort der Immobilie.</t>
        </is>
      </c>
    </row>
    <row r="12">
      <c r="A12" s="35" t="inlineStr">
        <is>
          <t>Baujahr</t>
        </is>
      </c>
      <c r="B12" s="36" t="inlineStr">
        <is>
          <t>Jahr der Bauabnahme/Fertigstellung des Gebäudes.</t>
        </is>
      </c>
    </row>
    <row r="13">
      <c r="A13" s="35" t="inlineStr">
        <is>
          <t>Wohnfläche gesamt (m²)</t>
        </is>
      </c>
      <c r="B13" s="36" t="inlineStr">
        <is>
          <t>Gesamte Wohn-/Nutzfläche aller Einheiten des Objekts.</t>
        </is>
      </c>
    </row>
    <row r="14">
      <c r="A14" s="35" t="inlineStr">
        <is>
          <t>Anzahl Einheiten</t>
        </is>
      </c>
      <c r="B14" s="36" t="inlineStr">
        <is>
          <t>Anzahl der Wohnungen/Sondereigentumseinheiten.</t>
        </is>
      </c>
    </row>
    <row r="15">
      <c r="A15" s="35" t="inlineStr">
        <is>
          <t>Baukosten pro m² Basis (€)</t>
        </is>
      </c>
      <c r="B15" s="36" t="inlineStr">
        <is>
          <t>Ursprüngliche oder geschätzte Herstellungskosten je m² (Eingabe).</t>
        </is>
      </c>
    </row>
    <row r="16">
      <c r="A16" s="35" t="inlineStr">
        <is>
          <t>Ausstattungsstandard</t>
        </is>
      </c>
      <c r="B16" s="36" t="inlineStr">
        <is>
          <t>Einfach/Mittel/Gehoben – Dropdown-Auswahl, beeinflusst den Faktor.</t>
        </is>
      </c>
    </row>
    <row r="17">
      <c r="A17" s="35" t="inlineStr">
        <is>
          <t>Faktor Ausstattung</t>
        </is>
      </c>
      <c r="B17" s="36" t="inlineStr">
        <is>
          <t>Automatischer Zuschlag/Abschlag je nach Ausstattungsstandard (VLOOKUP).</t>
        </is>
      </c>
    </row>
    <row r="18">
      <c r="A18" s="35" t="inlineStr">
        <is>
          <t>Gebäudealter (Jahre)</t>
        </is>
      </c>
      <c r="B18" s="36" t="inlineStr">
        <is>
          <t>Wird automatisch aus dem Baujahr berechnet (aktuelles Jahr - Baujahr).</t>
        </is>
      </c>
    </row>
    <row r="19">
      <c r="A19" s="35" t="inlineStr">
        <is>
          <t>Instandhaltungssatz p.a. (%)</t>
        </is>
      </c>
      <c r="B19" s="36" t="inlineStr">
        <is>
          <t>Nach Peters'scher Formel: &lt;22 Jahre 1,5%, 22-32 Jahre 2,0%, &gt;32 Jahre 1,5%.</t>
        </is>
      </c>
    </row>
    <row r="20">
      <c r="A20" s="35" t="inlineStr">
        <is>
          <t>Gesamtherstellungskosten (€)</t>
        </is>
      </c>
      <c r="B20" s="36" t="inlineStr">
        <is>
          <t>Wohnfläche x Baukosten pro m² x Faktor Ausstattung.</t>
        </is>
      </c>
    </row>
    <row r="21">
      <c r="A21" s="35" t="inlineStr">
        <is>
          <t>Jährliche Rücklage Soll (€)</t>
        </is>
      </c>
      <c r="B21" s="36" t="inlineStr">
        <is>
          <t>Gesamtherstellungskosten x Instandhaltungssatz p.a.</t>
        </is>
      </c>
    </row>
    <row r="22">
      <c r="A22" s="35" t="inlineStr">
        <is>
          <t>Monatliche Rücklage je m² (€)</t>
        </is>
      </c>
      <c r="B22" s="36" t="inlineStr">
        <is>
          <t>Jährliche Rücklage Soll geteilt durch Wohnfläche und 12 Monate.</t>
        </is>
      </c>
    </row>
    <row r="23">
      <c r="A23" s="35" t="inlineStr">
        <is>
          <t>Aktuelle Rücklage Ist-Stand (€)</t>
        </is>
      </c>
      <c r="B23" s="36" t="inlineStr">
        <is>
          <t>Tatsächlich vorhandene Rücklage laut Bankauszug/Hausgeldabrechnung (Eingabe).</t>
        </is>
      </c>
    </row>
    <row r="24">
      <c r="A24" s="35" t="inlineStr">
        <is>
          <t>Zielrücklage 5 Jahre (€)</t>
        </is>
      </c>
      <c r="B24" s="36" t="inlineStr">
        <is>
          <t>Empfohlener Rücklagenbestand nach 5 Jahren (Jährliche Rücklage Soll x 5).</t>
        </is>
      </c>
    </row>
    <row r="25">
      <c r="A25" s="35" t="inlineStr">
        <is>
          <t>Differenz Ist-Ziel (€)</t>
        </is>
      </c>
      <c r="B25" s="36" t="inlineStr">
        <is>
          <t>Aktuelle Rücklage minus Zielrücklage – zeigt Über-/Unterdeckung.</t>
        </is>
      </c>
    </row>
    <row r="26">
      <c r="A26" s="35" t="inlineStr">
        <is>
          <t>Status</t>
        </is>
      </c>
      <c r="B26" s="36" t="inlineStr">
        <is>
          <t>'Ausreichend' bei positiver Differenz, sonst 'Nachschuss nötig'.</t>
        </is>
      </c>
    </row>
    <row r="27"/>
    <row r="28">
      <c r="A28" s="34" t="inlineStr">
        <is>
          <t>Hinweise zum Tabellenblatt Übersicht</t>
        </is>
      </c>
    </row>
    <row r="29">
      <c r="A29" s="2" t="inlineStr">
        <is>
          <t>Das Tabellenblatt 'Übersicht' fasst alle wichtigen Kennzahlen automatisch zusammen und</t>
        </is>
      </c>
    </row>
    <row r="30">
      <c r="A30" s="2" t="inlineStr">
        <is>
          <t>zeigt zwei Diagramme: ein Balkendiagramm mit Soll- und Ist-Rücklage je Objekt sowie ein</t>
        </is>
      </c>
    </row>
    <row r="31">
      <c r="A31" s="2" t="inlineStr">
        <is>
          <t>Kreisdiagramm zur Verteilung der Objekte nach Rücklagenstatus.</t>
        </is>
      </c>
    </row>
    <row r="32">
      <c r="A32" s="2" t="inlineStr">
        <is>
          <t>Alle Werte in der Übersicht sind Formeln, die sich automatisch aktualisieren, sobald Sie</t>
        </is>
      </c>
    </row>
    <row r="33">
      <c r="A33" s="2" t="inlineStr">
        <is>
          <t>Daten im Tabellenblatt 'Objektdaten &amp; Berechnung' anpassen.</t>
        </is>
      </c>
    </row>
    <row r="34">
      <c r="A34" s="2" t="inlineStr"/>
    </row>
    <row r="35">
      <c r="A35" s="2" t="inlineStr">
        <is>
          <t>Tipp: Prüfen Sie die Rücklage jährlich im Rahmen der Hausgeldabrechnung und passen Sie</t>
        </is>
      </c>
    </row>
    <row r="36">
      <c r="A36" s="2" t="inlineStr">
        <is>
          <t>die Vorauszahlungen der Eigentümer bei Bedarf an, um Sonderumlagen zu vermeiden.</t>
        </is>
      </c>
    </row>
  </sheetData>
  <mergeCells count="33">
    <mergeCell ref="A1:B1"/>
    <mergeCell ref="A3:F3"/>
    <mergeCell ref="A4:F4"/>
    <mergeCell ref="A5:F5"/>
    <mergeCell ref="A6:F6"/>
    <mergeCell ref="A7:F7"/>
    <mergeCell ref="A9:B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A28:B28"/>
    <mergeCell ref="A29:F29"/>
    <mergeCell ref="A30:F30"/>
    <mergeCell ref="A31:F31"/>
    <mergeCell ref="A32:F32"/>
    <mergeCell ref="A33:F33"/>
    <mergeCell ref="A34:F34"/>
    <mergeCell ref="A35:F35"/>
    <mergeCell ref="A36:F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2026-07-21T17:09:23Z</dcterms:created>
  <dcterms:modified xmlns:dcterms="http://purl.org/dc/terms/" xmlns:xsi="http://www.w3.org/2001/XMLSchema-instance" xsi:type="dcterms:W3CDTF">2026-07-21T17:09:23Z</dcterms:modified>
</cp:coreProperties>
</file>