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Heizkosten-Daten" sheetId="1" state="visible" r:id="rId1"/>
    <sheet xmlns:r="http://schemas.openxmlformats.org/officeDocument/2006/relationships" name="Abrechnung &amp; Übersicht" sheetId="2" state="visible" r:id="rId2"/>
    <sheet xmlns:r="http://schemas.openxmlformats.org/officeDocument/2006/relationships" name="Diagramm &amp; Hinweise" sheetId="3" state="visible" r:id="rId3"/>
    <sheet xmlns:r="http://schemas.openxmlformats.org/officeDocument/2006/relationships" name="Anleitung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\ &quot;€&quot;"/>
  </numFmts>
  <fonts count="11">
    <font>
      <name val="Calibri"/>
      <family val="2"/>
      <color theme="1"/>
      <sz val="11"/>
      <scheme val="minor"/>
    </font>
    <font>
      <b val="1"/>
      <color rgb="00FFFFFF"/>
      <sz val="11"/>
    </font>
    <font>
      <b val="1"/>
      <color rgb="001E293B"/>
      <sz val="11"/>
    </font>
    <font>
      <b val="1"/>
    </font>
    <font>
      <b val="1"/>
      <color rgb="00FFFFFF"/>
      <sz val="13"/>
    </font>
    <font>
      <b val="1"/>
      <color rgb="00FFFFFF"/>
    </font>
    <font>
      <sz val="10"/>
    </font>
    <font>
      <b val="1"/>
      <color rgb="001E293B"/>
    </font>
    <font>
      <b val="1"/>
      <color rgb="00C8102E"/>
      <sz val="11"/>
    </font>
    <font>
      <color rgb="00FFFFFF"/>
    </font>
    <font>
      <b val="1"/>
      <color rgb="001E293B"/>
      <sz val="10"/>
    </font>
  </fonts>
  <fills count="9">
    <fill>
      <patternFill/>
    </fill>
    <fill>
      <patternFill patternType="gray125"/>
    </fill>
    <fill>
      <patternFill patternType="solid">
        <fgColor rgb="001E293B"/>
      </patternFill>
    </fill>
    <fill>
      <patternFill patternType="solid">
        <fgColor rgb="00FFFBEB"/>
      </patternFill>
    </fill>
    <fill>
      <patternFill patternType="solid">
        <fgColor rgb="00F8FAFC"/>
      </patternFill>
    </fill>
    <fill>
      <patternFill patternType="solid">
        <fgColor rgb="00FFFFFF"/>
      </patternFill>
    </fill>
    <fill>
      <patternFill patternType="solid">
        <fgColor rgb="00E2E8F0"/>
      </patternFill>
    </fill>
    <fill>
      <patternFill patternType="solid">
        <fgColor rgb="00C8102E"/>
      </patternFill>
    </fill>
    <fill>
      <patternFill patternType="solid">
        <fgColor rgb="00FEF2F2"/>
      </patternFill>
    </fill>
  </fills>
  <borders count="2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</borders>
  <cellStyleXfs count="1">
    <xf numFmtId="0" fontId="0" fillId="0" borderId="0"/>
  </cellStyleXfs>
  <cellXfs count="43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0" fillId="3" borderId="1" applyAlignment="1" pivotButton="0" quotePrefix="0" xfId="0">
      <alignment horizontal="center" vertical="center" wrapText="1"/>
    </xf>
    <xf numFmtId="0" fontId="0" fillId="3" borderId="1" applyAlignment="1" pivotButton="0" quotePrefix="0" xfId="0">
      <alignment horizontal="right" vertical="center"/>
    </xf>
    <xf numFmtId="4" fontId="0" fillId="3" borderId="1" applyAlignment="1" pivotButton="0" quotePrefix="0" xfId="0">
      <alignment horizontal="right" vertical="center"/>
    </xf>
    <xf numFmtId="4" fontId="0" fillId="4" borderId="1" applyAlignment="1" pivotButton="0" quotePrefix="0" xfId="0">
      <alignment horizontal="right" vertical="center"/>
    </xf>
    <xf numFmtId="164" fontId="0" fillId="3" borderId="1" applyAlignment="1" pivotButton="0" quotePrefix="0" xfId="0">
      <alignment horizontal="right" vertical="center"/>
    </xf>
    <xf numFmtId="164" fontId="0" fillId="4" borderId="1" applyAlignment="1" pivotButton="0" quotePrefix="0" xfId="0">
      <alignment horizontal="right" vertical="center"/>
    </xf>
    <xf numFmtId="10" fontId="0" fillId="4" borderId="1" applyAlignment="1" pivotButton="0" quotePrefix="0" xfId="0">
      <alignment horizontal="right" vertical="center"/>
    </xf>
    <xf numFmtId="0" fontId="0" fillId="4" borderId="1" applyAlignment="1" pivotButton="0" quotePrefix="0" xfId="0">
      <alignment horizontal="center" vertical="center" wrapText="1"/>
    </xf>
    <xf numFmtId="4" fontId="0" fillId="5" borderId="1" applyAlignment="1" pivotButton="0" quotePrefix="0" xfId="0">
      <alignment horizontal="right" vertical="center"/>
    </xf>
    <xf numFmtId="164" fontId="0" fillId="5" borderId="1" applyAlignment="1" pivotButton="0" quotePrefix="0" xfId="0">
      <alignment horizontal="right" vertical="center"/>
    </xf>
    <xf numFmtId="10" fontId="0" fillId="5" borderId="1" applyAlignment="1" pivotButton="0" quotePrefix="0" xfId="0">
      <alignment horizontal="right" vertical="center"/>
    </xf>
    <xf numFmtId="0" fontId="0" fillId="5" borderId="1" applyAlignment="1" pivotButton="0" quotePrefix="0" xfId="0">
      <alignment horizontal="center" vertical="center" wrapText="1"/>
    </xf>
    <xf numFmtId="0" fontId="2" fillId="6" borderId="1" applyAlignment="1" pivotButton="0" quotePrefix="0" xfId="0">
      <alignment horizontal="center" vertical="center" wrapText="1"/>
    </xf>
    <xf numFmtId="4" fontId="3" fillId="6" borderId="1" applyAlignment="1" pivotButton="0" quotePrefix="0" xfId="0">
      <alignment horizontal="right" vertical="center"/>
    </xf>
    <xf numFmtId="164" fontId="3" fillId="6" borderId="1" applyAlignment="1" pivotButton="0" quotePrefix="0" xfId="0">
      <alignment horizontal="right" vertical="center"/>
    </xf>
    <xf numFmtId="0" fontId="4" fillId="2" borderId="1" applyAlignment="1" pivotButton="0" quotePrefix="0" xfId="0">
      <alignment horizontal="center" vertical="center" wrapText="1"/>
    </xf>
    <xf numFmtId="0" fontId="0" fillId="2" borderId="1" pivotButton="0" quotePrefix="0" xfId="0"/>
    <xf numFmtId="0" fontId="5" fillId="7" borderId="1" applyAlignment="1" pivotButton="0" quotePrefix="0" xfId="0">
      <alignment horizontal="center" vertical="center" wrapText="1"/>
    </xf>
    <xf numFmtId="0" fontId="6" fillId="4" borderId="1" applyAlignment="1" pivotButton="0" quotePrefix="0" xfId="0">
      <alignment horizontal="left" vertical="center"/>
    </xf>
    <xf numFmtId="0" fontId="6" fillId="5" borderId="1" applyAlignment="1" pivotButton="0" quotePrefix="0" xfId="0">
      <alignment horizontal="left" vertical="center"/>
    </xf>
    <xf numFmtId="1" fontId="0" fillId="4" borderId="1" applyAlignment="1" pivotButton="0" quotePrefix="0" xfId="0">
      <alignment horizontal="right" vertical="center"/>
    </xf>
    <xf numFmtId="1" fontId="0" fillId="5" borderId="1" applyAlignment="1" pivotButton="0" quotePrefix="0" xfId="0">
      <alignment horizontal="right" vertical="center"/>
    </xf>
    <xf numFmtId="0" fontId="7" fillId="6" borderId="1" pivotButton="0" quotePrefix="0" xfId="0"/>
    <xf numFmtId="0" fontId="0" fillId="0" borderId="1" applyAlignment="1" pivotButton="0" quotePrefix="0" xfId="0">
      <alignment horizontal="left" vertical="center"/>
    </xf>
    <xf numFmtId="164" fontId="0" fillId="0" borderId="1" applyAlignment="1" pivotButton="0" quotePrefix="0" xfId="0">
      <alignment horizontal="right" vertical="center"/>
    </xf>
    <xf numFmtId="0" fontId="5" fillId="7" borderId="1" pivotButton="0" quotePrefix="0" xfId="0"/>
    <xf numFmtId="0" fontId="3" fillId="0" borderId="1" applyAlignment="1" pivotButton="0" quotePrefix="0" xfId="0">
      <alignment horizontal="center" vertical="center" wrapText="1"/>
    </xf>
    <xf numFmtId="0" fontId="8" fillId="8" borderId="1" applyAlignment="1" pivotButton="0" quotePrefix="0" xfId="0">
      <alignment horizontal="left" vertical="center" wrapText="1"/>
    </xf>
    <xf numFmtId="0" fontId="0" fillId="8" borderId="1" pivotButton="0" quotePrefix="0" xfId="0"/>
    <xf numFmtId="0" fontId="6" fillId="5" borderId="1" applyAlignment="1" pivotButton="0" quotePrefix="0" xfId="0">
      <alignment horizontal="left" vertical="center" wrapText="1"/>
    </xf>
    <xf numFmtId="0" fontId="0" fillId="5" borderId="1" pivotButton="0" quotePrefix="0" xfId="0"/>
    <xf numFmtId="0" fontId="6" fillId="4" borderId="1" applyAlignment="1" pivotButton="0" quotePrefix="0" xfId="0">
      <alignment horizontal="left" vertical="center" wrapText="1"/>
    </xf>
    <xf numFmtId="0" fontId="0" fillId="4" borderId="1" pivotButton="0" quotePrefix="0" xfId="0"/>
    <xf numFmtId="0" fontId="1" fillId="2" borderId="1" pivotButton="0" quotePrefix="0" xfId="0"/>
    <xf numFmtId="0" fontId="0" fillId="0" borderId="1" pivotButton="0" quotePrefix="0" xfId="0"/>
    <xf numFmtId="164" fontId="0" fillId="0" borderId="1" pivotButton="0" quotePrefix="0" xfId="0"/>
    <xf numFmtId="4" fontId="0" fillId="0" borderId="1" pivotButton="0" quotePrefix="0" xfId="0"/>
    <xf numFmtId="0" fontId="1" fillId="7" borderId="1" applyAlignment="1" pivotButton="0" quotePrefix="0" xfId="0">
      <alignment horizontal="center" vertical="center" wrapText="1"/>
    </xf>
    <xf numFmtId="0" fontId="9" fillId="7" borderId="1" applyAlignment="1" pivotButton="0" quotePrefix="0" xfId="0">
      <alignment horizontal="left" vertical="center" wrapText="1"/>
    </xf>
    <xf numFmtId="0" fontId="10" fillId="5" borderId="1" applyAlignment="1" pivotButton="0" quotePrefix="0" xfId="0">
      <alignment horizontal="left" vertical="center" wrapText="1"/>
    </xf>
    <xf numFmtId="0" fontId="10" fillId="4" borderId="1" applyAlignment="1" pivotButton="0" quotePrefix="0" xfId="0">
      <alignment horizontal="left" vertical="center" wrapText="1"/>
    </xf>
  </cellXfs>
  <cellStyles count="1">
    <cellStyle name="Normal" xfId="0" builtinId="0" hidden="0"/>
  </cellStyles>
  <dxfs count="2">
    <dxf>
      <fill>
        <patternFill patternType="solid">
          <fgColor rgb="00FECACA"/>
        </patternFill>
      </fill>
    </dxf>
    <dxf>
      <fill>
        <patternFill patternType="solid">
          <fgColor rgb="00DCFCE7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Heizkostenanteil je Einheit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'Diagramm &amp; Hinweise'!B18</f>
            </strRef>
          </tx>
          <spPr>
            <a:solidFill xmlns:a="http://schemas.openxmlformats.org/drawingml/2006/main">
              <a:srgbClr val="1E293B"/>
            </a:solidFill>
            <a:ln xmlns:a="http://schemas.openxmlformats.org/drawingml/2006/main">
              <a:prstDash val="solid"/>
            </a:ln>
          </spPr>
          <cat>
            <numRef>
              <f>'Diagramm &amp; Hinweise'!$A$19:$A$28</f>
            </numRef>
          </cat>
          <val>
            <numRef>
              <f>'Diagramm &amp; Hinweise'!$B$19:$B$28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Einheit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Betrag €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Kostenverteilung: 70% vs. 30%</a:t>
            </a:r>
          </a:p>
        </rich>
      </tx>
    </title>
    <plotArea>
      <pieChart>
        <varyColors val="1"/>
        <ser>
          <idx val="0"/>
          <order val="0"/>
          <tx>
            <strRef>
              <f>'Diagramm &amp; Hinweise'!B31</f>
            </strRef>
          </tx>
          <spPr>
            <a:ln xmlns:a="http://schemas.openxmlformats.org/drawingml/2006/main">
              <a:prstDash val="solid"/>
            </a:ln>
          </spPr>
          <dPt>
            <idx val="0"/>
            <spPr>
              <a:solidFill xmlns:a="http://schemas.openxmlformats.org/drawingml/2006/main">
                <a:srgbClr val="C8102E"/>
              </a:solidFill>
              <a:ln xmlns:a="http://schemas.openxmlformats.org/drawingml/2006/main">
                <a:prstDash val="solid"/>
              </a:ln>
            </spPr>
          </dPt>
          <dPt>
            <idx val="1"/>
            <spPr>
              <a:solidFill xmlns:a="http://schemas.openxmlformats.org/drawingml/2006/main">
                <a:srgbClr val="1E293B"/>
              </a:solidFill>
              <a:ln xmlns:a="http://schemas.openxmlformats.org/drawingml/2006/main">
                <a:prstDash val="solid"/>
              </a:ln>
            </spPr>
          </dPt>
          <cat>
            <numRef>
              <f>'Diagramm &amp; Hinweise'!$A$32:$A$33</f>
            </numRef>
          </cat>
          <val>
            <numRef>
              <f>'Diagramm &amp; Hinweise'!$B$32:$B$33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Nachzahlung / Guthaben je Einheit</a:t>
            </a:r>
          </a:p>
        </rich>
      </tx>
    </title>
    <plotArea>
      <barChart>
        <barDir val="bar"/>
        <grouping val="clustered"/>
        <ser>
          <idx val="0"/>
          <order val="0"/>
          <tx>
            <strRef>
              <f>'Diagramm &amp; Hinweise'!D18</f>
            </strRef>
          </tx>
          <spPr>
            <a:solidFill xmlns:a="http://schemas.openxmlformats.org/drawingml/2006/main">
              <a:srgbClr val="16A34A"/>
            </a:solidFill>
            <a:ln xmlns:a="http://schemas.openxmlformats.org/drawingml/2006/main">
              <a:prstDash val="solid"/>
            </a:ln>
          </spPr>
          <cat>
            <numRef>
              <f>'Diagramm &amp; Hinweise'!$A$19:$A$28</f>
            </numRef>
          </cat>
          <val>
            <numRef>
              <f>'Diagramm &amp; Hinweise'!$D$19:$D$28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Betrag €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Einheit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/Relationships>
</file>

<file path=xl/drawings/drawing1.xml><?xml version="1.0" encoding="utf-8"?>
<wsDr xmlns="http://schemas.openxmlformats.org/drawingml/2006/spreadsheetDrawing">
  <oneCellAnchor>
    <from>
      <col>0</col>
      <colOff>0</colOff>
      <row>29</row>
      <rowOff>0</rowOff>
    </from>
    <ext cx="648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5</col>
      <colOff>0</colOff>
      <row>29</row>
      <rowOff>0</rowOff>
    </from>
    <ext cx="5040000" cy="36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0</col>
      <colOff>0</colOff>
      <row>54</row>
      <rowOff>0</rowOff>
    </from>
    <ext cx="6480000" cy="360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T13"/>
  <sheetViews>
    <sheetView workbookViewId="0">
      <selection activeCell="A1" sqref="A1"/>
    </sheetView>
  </sheetViews>
  <sheetFormatPr baseColWidth="8" defaultRowHeight="15"/>
  <cols>
    <col width="22" customWidth="1" min="1" max="1"/>
    <col width="20" customWidth="1" min="2" max="2"/>
    <col width="18" customWidth="1" min="3" max="3"/>
    <col width="12" customWidth="1" min="4" max="4"/>
    <col width="22" customWidth="1" min="5" max="5"/>
    <col width="14" customWidth="1" min="6" max="6"/>
    <col width="14" customWidth="1" min="7" max="7"/>
    <col width="14" customWidth="1" min="8" max="8"/>
    <col width="18" customWidth="1" min="9" max="9"/>
    <col width="18" customWidth="1" min="10" max="10"/>
    <col width="20" customWidth="1" min="11" max="11"/>
    <col width="18" customWidth="1" min="12" max="12"/>
    <col width="16" customWidth="1" min="13" max="13"/>
    <col width="14" customWidth="1" min="14" max="14"/>
    <col width="20" customWidth="1" min="15" max="15"/>
    <col width="18" customWidth="1" min="16" max="16"/>
    <col width="16" customWidth="1" min="17" max="17"/>
    <col width="18" customWidth="1" min="18" max="18"/>
    <col width="22" customWidth="1" min="19" max="19"/>
    <col width="14" customWidth="1" min="20" max="20"/>
  </cols>
  <sheetData>
    <row r="1" ht="40" customHeight="1">
      <c r="A1" s="1" t="inlineStr">
        <is>
          <t>Objekt / Liegenschaft</t>
        </is>
      </c>
      <c r="B1" s="1" t="inlineStr">
        <is>
          <t>Adresse</t>
        </is>
      </c>
      <c r="C1" s="1" t="inlineStr">
        <is>
          <t>Stadt</t>
        </is>
      </c>
      <c r="D1" s="1" t="inlineStr">
        <is>
          <t>Einheit Nr.</t>
        </is>
      </c>
      <c r="E1" s="1" t="inlineStr">
        <is>
          <t>Mieter / Eigentümer</t>
        </is>
      </c>
      <c r="F1" s="1" t="inlineStr">
        <is>
          <t>Wohnfläche m²</t>
        </is>
      </c>
      <c r="G1" s="1" t="inlineStr">
        <is>
          <t>HKV-Stand alt</t>
        </is>
      </c>
      <c r="H1" s="1" t="inlineStr">
        <is>
          <t>HKV-Stand neu</t>
        </is>
      </c>
      <c r="I1" s="1" t="inlineStr">
        <is>
          <t>Verbrauchseinheiten</t>
        </is>
      </c>
      <c r="J1" s="1" t="inlineStr">
        <is>
          <t>Gesamt-Heizkosten €</t>
        </is>
      </c>
      <c r="K1" s="1" t="inlineStr">
        <is>
          <t>70% verbrauchsabh. €</t>
        </is>
      </c>
      <c r="L1" s="1" t="inlineStr">
        <is>
          <t>30% flächenabh. €</t>
        </is>
      </c>
      <c r="M1" s="1" t="inlineStr">
        <is>
          <t>Anteil Verbrauch %</t>
        </is>
      </c>
      <c r="N1" s="1" t="inlineStr">
        <is>
          <t>Anteil Fläche %</t>
        </is>
      </c>
      <c r="O1" s="1" t="inlineStr">
        <is>
          <t>Verteilungssatz €/Einheit</t>
        </is>
      </c>
      <c r="P1" s="1" t="inlineStr">
        <is>
          <t>Verteilungssatz €/m²</t>
        </is>
      </c>
      <c r="Q1" s="1" t="inlineStr">
        <is>
          <t>Anteil gesamt €</t>
        </is>
      </c>
      <c r="R1" s="1" t="inlineStr">
        <is>
          <t>Vorauszahlungen €</t>
        </is>
      </c>
      <c r="S1" s="1" t="inlineStr">
        <is>
          <t>Nachzahlung/Guthaben €</t>
        </is>
      </c>
      <c r="T1" s="1" t="inlineStr">
        <is>
          <t>Status</t>
        </is>
      </c>
    </row>
    <row r="2">
      <c r="A2" s="2" t="inlineStr">
        <is>
          <t>Wohnanlage Mitte</t>
        </is>
      </c>
      <c r="B2" s="3" t="inlineStr">
        <is>
          <t>Hauptstraße 12</t>
        </is>
      </c>
      <c r="C2" s="3" t="inlineStr">
        <is>
          <t>Berlin</t>
        </is>
      </c>
      <c r="D2" s="2" t="inlineStr">
        <is>
          <t>WE 01</t>
        </is>
      </c>
      <c r="E2" s="2" t="inlineStr">
        <is>
          <t>Thomas Becker</t>
        </is>
      </c>
      <c r="F2" s="4" t="n">
        <v>72.5</v>
      </c>
      <c r="G2" s="3" t="n">
        <v>1200</v>
      </c>
      <c r="H2" s="3" t="n">
        <v>1850</v>
      </c>
      <c r="I2" s="5">
        <f>H2-G2</f>
        <v/>
      </c>
      <c r="J2" s="6" t="n">
        <v>8400</v>
      </c>
      <c r="K2" s="7">
        <f>J2*0.7</f>
        <v/>
      </c>
      <c r="L2" s="7">
        <f>J2*0.3</f>
        <v/>
      </c>
      <c r="M2" s="8">
        <f>IFERROR(I2/SUM($I$2:$I$11),0)</f>
        <v/>
      </c>
      <c r="N2" s="8">
        <f>IFERROR(F2/SUM($F$2:$F$11),0)</f>
        <v/>
      </c>
      <c r="O2" s="7">
        <f>IFERROR(K2/SUM($I$2:$I$11),0)</f>
        <v/>
      </c>
      <c r="P2" s="7">
        <f>IFERROR(L2/SUM($F$2:$F$11),0)</f>
        <v/>
      </c>
      <c r="Q2" s="7">
        <f>IFERROR(I2*O2+F2*P2,0)</f>
        <v/>
      </c>
      <c r="R2" s="6" t="n">
        <v>520</v>
      </c>
      <c r="S2" s="7">
        <f>Q2-R2</f>
        <v/>
      </c>
      <c r="T2" s="9">
        <f>IF(S2&gt;0,"Nachzahlung",IF(S2&lt;0,"Guthaben","Ausgeglichen"))</f>
        <v/>
      </c>
    </row>
    <row r="3">
      <c r="A3" s="2" t="inlineStr">
        <is>
          <t>Wohnanlage Mitte</t>
        </is>
      </c>
      <c r="B3" s="3" t="inlineStr">
        <is>
          <t>Hauptstraße 12</t>
        </is>
      </c>
      <c r="C3" s="3" t="inlineStr">
        <is>
          <t>Berlin</t>
        </is>
      </c>
      <c r="D3" s="2" t="inlineStr">
        <is>
          <t>WE 02</t>
        </is>
      </c>
      <c r="E3" s="2" t="inlineStr">
        <is>
          <t>Sabine Müller</t>
        </is>
      </c>
      <c r="F3" s="4" t="n">
        <v>58</v>
      </c>
      <c r="G3" s="3" t="n">
        <v>980</v>
      </c>
      <c r="H3" s="3" t="n">
        <v>1480</v>
      </c>
      <c r="I3" s="10">
        <f>H3-G3</f>
        <v/>
      </c>
      <c r="J3" s="6" t="n">
        <v>8400</v>
      </c>
      <c r="K3" s="11">
        <f>J3*0.7</f>
        <v/>
      </c>
      <c r="L3" s="11">
        <f>J3*0.3</f>
        <v/>
      </c>
      <c r="M3" s="12">
        <f>IFERROR(I3/SUM($I$2:$I$11),0)</f>
        <v/>
      </c>
      <c r="N3" s="12">
        <f>IFERROR(F3/SUM($F$2:$F$11),0)</f>
        <v/>
      </c>
      <c r="O3" s="11">
        <f>IFERROR(K3/SUM($I$2:$I$11),0)</f>
        <v/>
      </c>
      <c r="P3" s="11">
        <f>IFERROR(L3/SUM($F$2:$F$11),0)</f>
        <v/>
      </c>
      <c r="Q3" s="11">
        <f>IFERROR(I3*O3+F3*P3,0)</f>
        <v/>
      </c>
      <c r="R3" s="6" t="n">
        <v>420</v>
      </c>
      <c r="S3" s="11">
        <f>Q3-R3</f>
        <v/>
      </c>
      <c r="T3" s="13">
        <f>IF(S3&gt;0,"Nachzahlung",IF(S3&lt;0,"Guthaben","Ausgeglichen"))</f>
        <v/>
      </c>
    </row>
    <row r="4">
      <c r="A4" s="2" t="inlineStr">
        <is>
          <t>Wohnanlage Mitte</t>
        </is>
      </c>
      <c r="B4" s="3" t="inlineStr">
        <is>
          <t>Hauptstraße 12</t>
        </is>
      </c>
      <c r="C4" s="3" t="inlineStr">
        <is>
          <t>Berlin</t>
        </is>
      </c>
      <c r="D4" s="2" t="inlineStr">
        <is>
          <t>WE 03</t>
        </is>
      </c>
      <c r="E4" s="2" t="inlineStr">
        <is>
          <t>Andreas Schneider</t>
        </is>
      </c>
      <c r="F4" s="4" t="n">
        <v>85</v>
      </c>
      <c r="G4" s="3" t="n">
        <v>1450</v>
      </c>
      <c r="H4" s="3" t="n">
        <v>2310</v>
      </c>
      <c r="I4" s="5">
        <f>H4-G4</f>
        <v/>
      </c>
      <c r="J4" s="6" t="n">
        <v>8400</v>
      </c>
      <c r="K4" s="7">
        <f>J4*0.7</f>
        <v/>
      </c>
      <c r="L4" s="7">
        <f>J4*0.3</f>
        <v/>
      </c>
      <c r="M4" s="8">
        <f>IFERROR(I4/SUM($I$2:$I$11),0)</f>
        <v/>
      </c>
      <c r="N4" s="8">
        <f>IFERROR(F4/SUM($F$2:$F$11),0)</f>
        <v/>
      </c>
      <c r="O4" s="7">
        <f>IFERROR(K4/SUM($I$2:$I$11),0)</f>
        <v/>
      </c>
      <c r="P4" s="7">
        <f>IFERROR(L4/SUM($F$2:$F$11),0)</f>
        <v/>
      </c>
      <c r="Q4" s="7">
        <f>IFERROR(I4*O4+F4*P4,0)</f>
        <v/>
      </c>
      <c r="R4" s="6" t="n">
        <v>600</v>
      </c>
      <c r="S4" s="7">
        <f>Q4-R4</f>
        <v/>
      </c>
      <c r="T4" s="9">
        <f>IF(S4&gt;0,"Nachzahlung",IF(S4&lt;0,"Guthaben","Ausgeglichen"))</f>
        <v/>
      </c>
    </row>
    <row r="5">
      <c r="A5" s="2" t="inlineStr">
        <is>
          <t>Wohnanlage Mitte</t>
        </is>
      </c>
      <c r="B5" s="3" t="inlineStr">
        <is>
          <t>Hauptstraße 12</t>
        </is>
      </c>
      <c r="C5" s="3" t="inlineStr">
        <is>
          <t>Berlin</t>
        </is>
      </c>
      <c r="D5" s="2" t="inlineStr">
        <is>
          <t>WE 04</t>
        </is>
      </c>
      <c r="E5" s="2" t="inlineStr">
        <is>
          <t>Petra Wagner</t>
        </is>
      </c>
      <c r="F5" s="4" t="n">
        <v>64</v>
      </c>
      <c r="G5" s="3" t="n">
        <v>1100</v>
      </c>
      <c r="H5" s="3" t="n">
        <v>1720</v>
      </c>
      <c r="I5" s="10">
        <f>H5-G5</f>
        <v/>
      </c>
      <c r="J5" s="6" t="n">
        <v>8400</v>
      </c>
      <c r="K5" s="11">
        <f>J5*0.7</f>
        <v/>
      </c>
      <c r="L5" s="11">
        <f>J5*0.3</f>
        <v/>
      </c>
      <c r="M5" s="12">
        <f>IFERROR(I5/SUM($I$2:$I$11),0)</f>
        <v/>
      </c>
      <c r="N5" s="12">
        <f>IFERROR(F5/SUM($F$2:$F$11),0)</f>
        <v/>
      </c>
      <c r="O5" s="11">
        <f>IFERROR(K5/SUM($I$2:$I$11),0)</f>
        <v/>
      </c>
      <c r="P5" s="11">
        <f>IFERROR(L5/SUM($F$2:$F$11),0)</f>
        <v/>
      </c>
      <c r="Q5" s="11">
        <f>IFERROR(I5*O5+F5*P5,0)</f>
        <v/>
      </c>
      <c r="R5" s="6" t="n">
        <v>460</v>
      </c>
      <c r="S5" s="11">
        <f>Q5-R5</f>
        <v/>
      </c>
      <c r="T5" s="13">
        <f>IF(S5&gt;0,"Nachzahlung",IF(S5&lt;0,"Guthaben","Ausgeglichen"))</f>
        <v/>
      </c>
    </row>
    <row r="6">
      <c r="A6" s="2" t="inlineStr">
        <is>
          <t>Wohnanlage Mitte</t>
        </is>
      </c>
      <c r="B6" s="3" t="inlineStr">
        <is>
          <t>Hauptstraße 12</t>
        </is>
      </c>
      <c r="C6" s="3" t="inlineStr">
        <is>
          <t>Berlin</t>
        </is>
      </c>
      <c r="D6" s="2" t="inlineStr">
        <is>
          <t>WE 05</t>
        </is>
      </c>
      <c r="E6" s="2" t="inlineStr">
        <is>
          <t>Michael Hoffmann</t>
        </is>
      </c>
      <c r="F6" s="4" t="n">
        <v>96.40000000000001</v>
      </c>
      <c r="G6" s="3" t="n">
        <v>1680</v>
      </c>
      <c r="H6" s="3" t="n">
        <v>2650</v>
      </c>
      <c r="I6" s="5">
        <f>H6-G6</f>
        <v/>
      </c>
      <c r="J6" s="6" t="n">
        <v>8400</v>
      </c>
      <c r="K6" s="7">
        <f>J6*0.7</f>
        <v/>
      </c>
      <c r="L6" s="7">
        <f>J6*0.3</f>
        <v/>
      </c>
      <c r="M6" s="8">
        <f>IFERROR(I6/SUM($I$2:$I$11),0)</f>
        <v/>
      </c>
      <c r="N6" s="8">
        <f>IFERROR(F6/SUM($F$2:$F$11),0)</f>
        <v/>
      </c>
      <c r="O6" s="7">
        <f>IFERROR(K6/SUM($I$2:$I$11),0)</f>
        <v/>
      </c>
      <c r="P6" s="7">
        <f>IFERROR(L6/SUM($F$2:$F$11),0)</f>
        <v/>
      </c>
      <c r="Q6" s="7">
        <f>IFERROR(I6*O6+F6*P6,0)</f>
        <v/>
      </c>
      <c r="R6" s="6" t="n">
        <v>700</v>
      </c>
      <c r="S6" s="7">
        <f>Q6-R6</f>
        <v/>
      </c>
      <c r="T6" s="9">
        <f>IF(S6&gt;0,"Nachzahlung",IF(S6&lt;0,"Guthaben","Ausgeglichen"))</f>
        <v/>
      </c>
    </row>
    <row r="7">
      <c r="A7" s="2" t="inlineStr">
        <is>
          <t>Wohnanlage Mitte</t>
        </is>
      </c>
      <c r="B7" s="3" t="inlineStr">
        <is>
          <t>Hauptstraße 12</t>
        </is>
      </c>
      <c r="C7" s="3" t="inlineStr">
        <is>
          <t>Berlin</t>
        </is>
      </c>
      <c r="D7" s="2" t="inlineStr">
        <is>
          <t>WE 06</t>
        </is>
      </c>
      <c r="E7" s="2" t="inlineStr">
        <is>
          <t>Julia Richter</t>
        </is>
      </c>
      <c r="F7" s="4" t="n">
        <v>48</v>
      </c>
      <c r="G7" s="3" t="n">
        <v>820</v>
      </c>
      <c r="H7" s="3" t="n">
        <v>1240</v>
      </c>
      <c r="I7" s="10">
        <f>H7-G7</f>
        <v/>
      </c>
      <c r="J7" s="6" t="n">
        <v>8400</v>
      </c>
      <c r="K7" s="11">
        <f>J7*0.7</f>
        <v/>
      </c>
      <c r="L7" s="11">
        <f>J7*0.3</f>
        <v/>
      </c>
      <c r="M7" s="12">
        <f>IFERROR(I7/SUM($I$2:$I$11),0)</f>
        <v/>
      </c>
      <c r="N7" s="12">
        <f>IFERROR(F7/SUM($F$2:$F$11),0)</f>
        <v/>
      </c>
      <c r="O7" s="11">
        <f>IFERROR(K7/SUM($I$2:$I$11),0)</f>
        <v/>
      </c>
      <c r="P7" s="11">
        <f>IFERROR(L7/SUM($F$2:$F$11),0)</f>
        <v/>
      </c>
      <c r="Q7" s="11">
        <f>IFERROR(I7*O7+F7*P7,0)</f>
        <v/>
      </c>
      <c r="R7" s="6" t="n">
        <v>350</v>
      </c>
      <c r="S7" s="11">
        <f>Q7-R7</f>
        <v/>
      </c>
      <c r="T7" s="13">
        <f>IF(S7&gt;0,"Nachzahlung",IF(S7&lt;0,"Guthaben","Ausgeglichen"))</f>
        <v/>
      </c>
    </row>
    <row r="8">
      <c r="A8" s="2" t="inlineStr">
        <is>
          <t>Wohnanlage Mitte</t>
        </is>
      </c>
      <c r="B8" s="3" t="inlineStr">
        <is>
          <t>Hauptstraße 12</t>
        </is>
      </c>
      <c r="C8" s="3" t="inlineStr">
        <is>
          <t>Berlin</t>
        </is>
      </c>
      <c r="D8" s="2" t="inlineStr">
        <is>
          <t>WE 07</t>
        </is>
      </c>
      <c r="E8" s="2" t="inlineStr">
        <is>
          <t>Stefan Weber</t>
        </is>
      </c>
      <c r="F8" s="4" t="n">
        <v>76</v>
      </c>
      <c r="G8" s="3" t="n">
        <v>1350</v>
      </c>
      <c r="H8" s="3" t="n">
        <v>2080</v>
      </c>
      <c r="I8" s="5">
        <f>H8-G8</f>
        <v/>
      </c>
      <c r="J8" s="6" t="n">
        <v>8400</v>
      </c>
      <c r="K8" s="7">
        <f>J8*0.7</f>
        <v/>
      </c>
      <c r="L8" s="7">
        <f>J8*0.3</f>
        <v/>
      </c>
      <c r="M8" s="8">
        <f>IFERROR(I8/SUM($I$2:$I$11),0)</f>
        <v/>
      </c>
      <c r="N8" s="8">
        <f>IFERROR(F8/SUM($F$2:$F$11),0)</f>
        <v/>
      </c>
      <c r="O8" s="7">
        <f>IFERROR(K8/SUM($I$2:$I$11),0)</f>
        <v/>
      </c>
      <c r="P8" s="7">
        <f>IFERROR(L8/SUM($F$2:$F$11),0)</f>
        <v/>
      </c>
      <c r="Q8" s="7">
        <f>IFERROR(I8*O8+F8*P8,0)</f>
        <v/>
      </c>
      <c r="R8" s="6" t="n">
        <v>540</v>
      </c>
      <c r="S8" s="7">
        <f>Q8-R8</f>
        <v/>
      </c>
      <c r="T8" s="9">
        <f>IF(S8&gt;0,"Nachzahlung",IF(S8&lt;0,"Guthaben","Ausgeglichen"))</f>
        <v/>
      </c>
    </row>
    <row r="9">
      <c r="A9" s="2" t="inlineStr">
        <is>
          <t>Wohnanlage Mitte</t>
        </is>
      </c>
      <c r="B9" s="3" t="inlineStr">
        <is>
          <t>Hauptstraße 12</t>
        </is>
      </c>
      <c r="C9" s="3" t="inlineStr">
        <is>
          <t>Berlin</t>
        </is>
      </c>
      <c r="D9" s="2" t="inlineStr">
        <is>
          <t>WE 08</t>
        </is>
      </c>
      <c r="E9" s="2" t="inlineStr">
        <is>
          <t>Claudia Fischer</t>
        </is>
      </c>
      <c r="F9" s="4" t="n">
        <v>55.5</v>
      </c>
      <c r="G9" s="3" t="n">
        <v>900</v>
      </c>
      <c r="H9" s="3" t="n">
        <v>1390</v>
      </c>
      <c r="I9" s="10">
        <f>H9-G9</f>
        <v/>
      </c>
      <c r="J9" s="6" t="n">
        <v>8400</v>
      </c>
      <c r="K9" s="11">
        <f>J9*0.7</f>
        <v/>
      </c>
      <c r="L9" s="11">
        <f>J9*0.3</f>
        <v/>
      </c>
      <c r="M9" s="12">
        <f>IFERROR(I9/SUM($I$2:$I$11),0)</f>
        <v/>
      </c>
      <c r="N9" s="12">
        <f>IFERROR(F9/SUM($F$2:$F$11),0)</f>
        <v/>
      </c>
      <c r="O9" s="11">
        <f>IFERROR(K9/SUM($I$2:$I$11),0)</f>
        <v/>
      </c>
      <c r="P9" s="11">
        <f>IFERROR(L9/SUM($F$2:$F$11),0)</f>
        <v/>
      </c>
      <c r="Q9" s="11">
        <f>IFERROR(I9*O9+F9*P9,0)</f>
        <v/>
      </c>
      <c r="R9" s="6" t="n">
        <v>400</v>
      </c>
      <c r="S9" s="11">
        <f>Q9-R9</f>
        <v/>
      </c>
      <c r="T9" s="13">
        <f>IF(S9&gt;0,"Nachzahlung",IF(S9&lt;0,"Guthaben","Ausgeglichen"))</f>
        <v/>
      </c>
    </row>
    <row r="10">
      <c r="A10" s="2" t="inlineStr">
        <is>
          <t>Wohnanlage Mitte</t>
        </is>
      </c>
      <c r="B10" s="3" t="inlineStr">
        <is>
          <t>Hauptstraße 12</t>
        </is>
      </c>
      <c r="C10" s="3" t="inlineStr">
        <is>
          <t>Berlin</t>
        </is>
      </c>
      <c r="D10" s="2" t="inlineStr">
        <is>
          <t>WE 09</t>
        </is>
      </c>
      <c r="E10" s="2" t="inlineStr">
        <is>
          <t>Markus Bauer</t>
        </is>
      </c>
      <c r="F10" s="4" t="n">
        <v>38.5</v>
      </c>
      <c r="G10" s="3" t="n">
        <v>620</v>
      </c>
      <c r="H10" s="3" t="n">
        <v>980</v>
      </c>
      <c r="I10" s="5">
        <f>H10-G10</f>
        <v/>
      </c>
      <c r="J10" s="6" t="n">
        <v>8400</v>
      </c>
      <c r="K10" s="7">
        <f>J10*0.7</f>
        <v/>
      </c>
      <c r="L10" s="7">
        <f>J10*0.3</f>
        <v/>
      </c>
      <c r="M10" s="8">
        <f>IFERROR(I10/SUM($I$2:$I$11),0)</f>
        <v/>
      </c>
      <c r="N10" s="8">
        <f>IFERROR(F10/SUM($F$2:$F$11),0)</f>
        <v/>
      </c>
      <c r="O10" s="7">
        <f>IFERROR(K10/SUM($I$2:$I$11),0)</f>
        <v/>
      </c>
      <c r="P10" s="7">
        <f>IFERROR(L10/SUM($F$2:$F$11),0)</f>
        <v/>
      </c>
      <c r="Q10" s="7">
        <f>IFERROR(I10*O10+F10*P10,0)</f>
        <v/>
      </c>
      <c r="R10" s="6" t="n">
        <v>280</v>
      </c>
      <c r="S10" s="7">
        <f>Q10-R10</f>
        <v/>
      </c>
      <c r="T10" s="9">
        <f>IF(S10&gt;0,"Nachzahlung",IF(S10&lt;0,"Guthaben","Ausgeglichen"))</f>
        <v/>
      </c>
    </row>
    <row r="11">
      <c r="A11" s="2" t="inlineStr">
        <is>
          <t>Wohnanlage Mitte</t>
        </is>
      </c>
      <c r="B11" s="3" t="inlineStr">
        <is>
          <t>Hauptstraße 12</t>
        </is>
      </c>
      <c r="C11" s="3" t="inlineStr">
        <is>
          <t>Berlin</t>
        </is>
      </c>
      <c r="D11" s="2" t="inlineStr">
        <is>
          <t>WE 10</t>
        </is>
      </c>
      <c r="E11" s="2" t="inlineStr">
        <is>
          <t>Nicole Schulz</t>
        </is>
      </c>
      <c r="F11" s="4" t="n">
        <v>67</v>
      </c>
      <c r="G11" s="3" t="n">
        <v>1180</v>
      </c>
      <c r="H11" s="3" t="n">
        <v>1860</v>
      </c>
      <c r="I11" s="10">
        <f>H11-G11</f>
        <v/>
      </c>
      <c r="J11" s="6" t="n">
        <v>8400</v>
      </c>
      <c r="K11" s="11">
        <f>J11*0.7</f>
        <v/>
      </c>
      <c r="L11" s="11">
        <f>J11*0.3</f>
        <v/>
      </c>
      <c r="M11" s="12">
        <f>IFERROR(I11/SUM($I$2:$I$11),0)</f>
        <v/>
      </c>
      <c r="N11" s="12">
        <f>IFERROR(F11/SUM($F$2:$F$11),0)</f>
        <v/>
      </c>
      <c r="O11" s="11">
        <f>IFERROR(K11/SUM($I$2:$I$11),0)</f>
        <v/>
      </c>
      <c r="P11" s="11">
        <f>IFERROR(L11/SUM($F$2:$F$11),0)</f>
        <v/>
      </c>
      <c r="Q11" s="11">
        <f>IFERROR(I11*O11+F11*P11,0)</f>
        <v/>
      </c>
      <c r="R11" s="6" t="n">
        <v>480</v>
      </c>
      <c r="S11" s="11">
        <f>Q11-R11</f>
        <v/>
      </c>
      <c r="T11" s="13">
        <f>IF(S11&gt;0,"Nachzahlung",IF(S11&lt;0,"Guthaben","Ausgeglichen"))</f>
        <v/>
      </c>
    </row>
    <row r="12"/>
    <row r="13">
      <c r="A13" s="14" t="inlineStr">
        <is>
          <t>SUMME / GESAMT</t>
        </is>
      </c>
      <c r="F13" s="15">
        <f>SUM(F2:F11)</f>
        <v/>
      </c>
      <c r="I13" s="15">
        <f>SUM(I2:I11)</f>
        <v/>
      </c>
      <c r="Q13" s="16">
        <f>SUM(Q2:Q11)</f>
        <v/>
      </c>
      <c r="R13" s="16">
        <f>SUM(R2:R11)</f>
        <v/>
      </c>
      <c r="S13" s="16">
        <f>SUM(S2:S11)</f>
        <v/>
      </c>
    </row>
  </sheetData>
  <conditionalFormatting sqref="S2:S11">
    <cfRule type="expression" priority="1" dxfId="0" stopIfTrue="0">
      <formula>S2&gt;0</formula>
    </cfRule>
    <cfRule type="expression" priority="2" dxfId="1" stopIfTrue="0">
      <formula>S2&lt;0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25"/>
  <sheetViews>
    <sheetView workbookViewId="0">
      <selection activeCell="A1" sqref="A1"/>
    </sheetView>
  </sheetViews>
  <sheetFormatPr baseColWidth="8" defaultRowHeight="15"/>
  <cols>
    <col width="36" customWidth="1" min="1" max="1"/>
    <col width="22" customWidth="1" min="2" max="2"/>
    <col width="18" customWidth="1" min="3" max="3"/>
    <col width="18" customWidth="1" min="4" max="4"/>
    <col width="22" customWidth="1" min="5" max="5"/>
  </cols>
  <sheetData>
    <row r="1" ht="36" customHeight="1">
      <c r="A1" s="17" t="inlineStr">
        <is>
          <t>Heizkostenabrechnung 2026 – Übersicht &amp; Auswertung</t>
        </is>
      </c>
      <c r="B1" s="18" t="n"/>
      <c r="C1" s="18" t="n"/>
      <c r="D1" s="18" t="n"/>
      <c r="E1" s="18" t="n"/>
    </row>
    <row r="2"/>
    <row r="3">
      <c r="A3" s="19" t="inlineStr">
        <is>
          <t>Kennzahl</t>
        </is>
      </c>
      <c r="B3" s="19" t="inlineStr">
        <is>
          <t>Wert</t>
        </is>
      </c>
      <c r="C3" s="19" t="inlineStr">
        <is>
          <t>Einheit</t>
        </is>
      </c>
    </row>
    <row r="4">
      <c r="A4" s="20" t="inlineStr">
        <is>
          <t>Gesamt-Heizkosten</t>
        </is>
      </c>
      <c r="B4" s="7">
        <f>SUM('Heizkosten-Daten'!J2:J11)/COUNT('Heizkosten-Daten'!J2:J11)*COUNT('Heizkosten-Daten'!J2:J11)</f>
        <v/>
      </c>
      <c r="C4" s="9" t="inlineStr">
        <is>
          <t>€</t>
        </is>
      </c>
    </row>
    <row r="5">
      <c r="A5" s="21" t="inlineStr">
        <is>
          <t>Gesamtverbrauchseinheiten</t>
        </is>
      </c>
      <c r="B5" s="10">
        <f>SUM('Heizkosten-Daten'!I2:I11)</f>
        <v/>
      </c>
      <c r="C5" s="13" t="inlineStr">
        <is>
          <t>HKV-Einheiten</t>
        </is>
      </c>
    </row>
    <row r="6">
      <c r="A6" s="20" t="inlineStr">
        <is>
          <t>Gesamtwohnfläche m²</t>
        </is>
      </c>
      <c r="B6" s="5">
        <f>SUM('Heizkosten-Daten'!F2:F11)</f>
        <v/>
      </c>
      <c r="C6" s="9" t="inlineStr">
        <is>
          <t>m²</t>
        </is>
      </c>
    </row>
    <row r="7">
      <c r="A7" s="21" t="inlineStr">
        <is>
          <t>Anteil 70% verbrauchsabhängig €</t>
        </is>
      </c>
      <c r="B7" s="11">
        <f>SUM('Heizkosten-Daten'!K2:K11)/COUNT('Heizkosten-Daten'!K2:K11)*COUNT('Heizkosten-Daten'!K2:K11)</f>
        <v/>
      </c>
      <c r="C7" s="13" t="inlineStr">
        <is>
          <t>€</t>
        </is>
      </c>
    </row>
    <row r="8">
      <c r="A8" s="20" t="inlineStr">
        <is>
          <t>Anteil 30% flächenabhängig €</t>
        </is>
      </c>
      <c r="B8" s="7">
        <f>SUM('Heizkosten-Daten'!L2:L11)/COUNT('Heizkosten-Daten'!L2:L11)*COUNT('Heizkosten-Daten'!L2:L11)</f>
        <v/>
      </c>
      <c r="C8" s="9" t="inlineStr">
        <is>
          <t>€</t>
        </is>
      </c>
    </row>
    <row r="9">
      <c r="A9" s="21" t="inlineStr">
        <is>
          <t>Durchschnittskosten pro m²</t>
        </is>
      </c>
      <c r="B9" s="11">
        <f>IFERROR(SUM('Heizkosten-Daten'!Q2:Q11)/SUM('Heizkosten-Daten'!F2:F11),0)</f>
        <v/>
      </c>
      <c r="C9" s="13" t="inlineStr">
        <is>
          <t>€/m²</t>
        </is>
      </c>
    </row>
    <row r="10">
      <c r="A10" s="20" t="inlineStr">
        <is>
          <t>Durchschnittskosten pro HKV-Einheit</t>
        </is>
      </c>
      <c r="B10" s="7">
        <f>IFERROR(SUM('Heizkosten-Daten'!K2:K11)/SUM('Heizkosten-Daten'!I2:I11),0)</f>
        <v/>
      </c>
      <c r="C10" s="9" t="inlineStr">
        <is>
          <t>€/Einheit</t>
        </is>
      </c>
    </row>
    <row r="11">
      <c r="A11" s="21" t="inlineStr">
        <is>
          <t>Summe Vorauszahlungen €</t>
        </is>
      </c>
      <c r="B11" s="11">
        <f>SUM('Heizkosten-Daten'!R2:R11)</f>
        <v/>
      </c>
      <c r="C11" s="13" t="inlineStr">
        <is>
          <t>€</t>
        </is>
      </c>
    </row>
    <row r="12">
      <c r="A12" s="20" t="inlineStr">
        <is>
          <t>Summe Nachzahlungen €</t>
        </is>
      </c>
      <c r="B12" s="7">
        <f>SUMIF('Heizkosten-Daten'!S2:S11,"&gt;0",'Heizkosten-Daten'!S2:S11)</f>
        <v/>
      </c>
      <c r="C12" s="9" t="inlineStr">
        <is>
          <t>€</t>
        </is>
      </c>
    </row>
    <row r="13">
      <c r="A13" s="21" t="inlineStr">
        <is>
          <t>Summe Guthaben €</t>
        </is>
      </c>
      <c r="B13" s="11">
        <f>SUMIF('Heizkosten-Daten'!S2:S11,"&lt;0",'Heizkosten-Daten'!S2:S11)</f>
        <v/>
      </c>
      <c r="C13" s="13" t="inlineStr">
        <is>
          <t>€</t>
        </is>
      </c>
    </row>
    <row r="14">
      <c r="A14" s="20" t="inlineStr">
        <is>
          <t>Anzahl Nachzahlungen</t>
        </is>
      </c>
      <c r="B14" s="22">
        <f>COUNTIF('Heizkosten-Daten'!T2:T11,"Nachzahlung")</f>
        <v/>
      </c>
      <c r="C14" s="9" t="inlineStr">
        <is>
          <t>Mieter</t>
        </is>
      </c>
    </row>
    <row r="15">
      <c r="A15" s="21" t="inlineStr">
        <is>
          <t>Anzahl Guthaben</t>
        </is>
      </c>
      <c r="B15" s="23">
        <f>COUNTIF('Heizkosten-Daten'!T2:T11,"Guthaben")</f>
        <v/>
      </c>
      <c r="C15" s="13" t="inlineStr">
        <is>
          <t>Mieter</t>
        </is>
      </c>
    </row>
    <row r="16">
      <c r="A16" s="20" t="inlineStr">
        <is>
          <t>Höchster Einzelverbrauch</t>
        </is>
      </c>
      <c r="B16" s="5">
        <f>MAX('Heizkosten-Daten'!I2:I11)</f>
        <v/>
      </c>
      <c r="C16" s="9" t="inlineStr">
        <is>
          <t>HKV-Einheiten</t>
        </is>
      </c>
    </row>
    <row r="17">
      <c r="A17" s="21" t="inlineStr">
        <is>
          <t>Niedrigster Einzelverbrauch</t>
        </is>
      </c>
      <c r="B17" s="10">
        <f>MIN('Heizkosten-Daten'!I2:I11)</f>
        <v/>
      </c>
      <c r="C17" s="13" t="inlineStr">
        <is>
          <t>HKV-Einheiten</t>
        </is>
      </c>
    </row>
    <row r="18">
      <c r="A18" s="20" t="inlineStr">
        <is>
          <t>Größte Nachzahlung</t>
        </is>
      </c>
      <c r="B18" s="7">
        <f>MAX('Heizkosten-Daten'!S2:S11)</f>
        <v/>
      </c>
      <c r="C18" s="9" t="inlineStr">
        <is>
          <t>€</t>
        </is>
      </c>
    </row>
    <row r="19">
      <c r="A19" s="21" t="inlineStr">
        <is>
          <t>Größtes Guthaben</t>
        </is>
      </c>
      <c r="B19" s="11">
        <f>MIN('Heizkosten-Daten'!S2:S11)</f>
        <v/>
      </c>
      <c r="C19" s="13" t="inlineStr">
        <is>
          <t>€</t>
        </is>
      </c>
    </row>
    <row r="20"/>
    <row r="21">
      <c r="A21" s="24" t="inlineStr">
        <is>
          <t>Einheitenabfrage (VLOOKUP-Beispiel)</t>
        </is>
      </c>
      <c r="B21" s="2" t="inlineStr">
        <is>
          <t>WE 03</t>
        </is>
      </c>
    </row>
    <row r="22">
      <c r="A22" s="25" t="inlineStr">
        <is>
          <t>Mieter (aus Datenblatt)</t>
        </is>
      </c>
      <c r="B22" s="25">
        <f>IFERROR(VLOOKUP(B21,'Heizkosten-Daten'!$D$2:$E$11,2,0),"Nicht gefunden")</f>
        <v/>
      </c>
    </row>
    <row r="23">
      <c r="A23" s="25" t="inlineStr">
        <is>
          <t>Anteil gesamt € (aus Datenblatt)</t>
        </is>
      </c>
      <c r="B23" s="26">
        <f>IFERROR(VLOOKUP(B21,'Heizkosten-Daten'!$D$2:$Q$11,14,0),0)</f>
        <v/>
      </c>
    </row>
    <row r="24"/>
    <row r="25">
      <c r="A25" s="27" t="inlineStr">
        <is>
          <t>Ampelprüfung Abweichung</t>
        </is>
      </c>
      <c r="B25" s="28">
        <f>IF(ABS(B9)&gt;500,"Prüfen – hohe Abweichung!",IF(ABS(B9)&gt;200,"Hinweis – Abweichung prüfen","OK"))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33"/>
  <sheetViews>
    <sheetView workbookViewId="0">
      <selection activeCell="A1" sqref="A1"/>
    </sheetView>
  </sheetViews>
  <sheetFormatPr baseColWidth="8" defaultRowHeight="15"/>
  <cols>
    <col width="28" customWidth="1" min="1" max="1"/>
    <col width="20" customWidth="1" min="2" max="2"/>
    <col width="20" customWidth="1" min="3" max="3"/>
    <col width="20" customWidth="1" min="4" max="4"/>
    <col width="20" customWidth="1" min="5" max="5"/>
  </cols>
  <sheetData>
    <row r="1" ht="36" customHeight="1">
      <c r="A1" s="17" t="inlineStr">
        <is>
          <t>Heizkostenverteilung 70/30-Regel – Diagramme &amp; Hinweise</t>
        </is>
      </c>
      <c r="B1" s="18" t="n"/>
      <c r="C1" s="18" t="n"/>
      <c r="D1" s="18" t="n"/>
      <c r="E1" s="18" t="n"/>
    </row>
    <row r="2"/>
    <row r="3" ht="20" customHeight="1">
      <c r="A3" s="29" t="inlineStr">
        <is>
          <t>70/30-Regel – Erläuterung</t>
        </is>
      </c>
      <c r="B3" s="30" t="n"/>
      <c r="C3" s="30" t="n"/>
      <c r="D3" s="30" t="n"/>
      <c r="E3" s="30" t="n"/>
    </row>
    <row r="4" ht="20" customHeight="1">
      <c r="A4" s="31" t="inlineStr">
        <is>
          <t>Gemäß Heizkostenverordnung (HeizkostenV) sind mind. 50%, max. 70% der Heizkosten nach Verbrauch abzurechnen.</t>
        </is>
      </c>
      <c r="B4" s="32" t="n"/>
      <c r="C4" s="32" t="n"/>
      <c r="D4" s="32" t="n"/>
      <c r="E4" s="32" t="n"/>
    </row>
    <row r="5" ht="20" customHeight="1">
      <c r="A5" s="33" t="inlineStr">
        <is>
          <t>In dieser Vorlage werden 70% verbrauchsabhängig und 30% flächenabhängig verteilt.</t>
        </is>
      </c>
      <c r="B5" s="34" t="n"/>
      <c r="C5" s="34" t="n"/>
      <c r="D5" s="34" t="n"/>
      <c r="E5" s="34" t="n"/>
    </row>
    <row r="6" ht="20" customHeight="1">
      <c r="A6" s="31" t="inlineStr">
        <is>
          <t>Verbrauchsabhängiger Anteil (70%):</t>
        </is>
      </c>
      <c r="B6" s="32" t="n"/>
      <c r="C6" s="32" t="n"/>
      <c r="D6" s="32" t="n"/>
      <c r="E6" s="32" t="n"/>
    </row>
    <row r="7" ht="20" customHeight="1">
      <c r="A7" s="33" t="inlineStr">
        <is>
          <t xml:space="preserve">  Jede Einheit trägt proportional zu ihren Heizkostenverteiler-Einheiten bei.</t>
        </is>
      </c>
      <c r="B7" s="34" t="n"/>
      <c r="C7" s="34" t="n"/>
      <c r="D7" s="34" t="n"/>
      <c r="E7" s="34" t="n"/>
    </row>
    <row r="8" ht="20" customHeight="1">
      <c r="A8" s="31" t="inlineStr">
        <is>
          <t xml:space="preserve">  Formel: (Verbrauch der Einheit / Gesamtverbrauch) × 70% der Gesamtkosten</t>
        </is>
      </c>
      <c r="B8" s="32" t="n"/>
      <c r="C8" s="32" t="n"/>
      <c r="D8" s="32" t="n"/>
      <c r="E8" s="32" t="n"/>
    </row>
    <row r="9" ht="20" customHeight="1">
      <c r="A9" s="33" t="inlineStr">
        <is>
          <t>Flächenabhängiger Anteil (30%):</t>
        </is>
      </c>
      <c r="B9" s="34" t="n"/>
      <c r="C9" s="34" t="n"/>
      <c r="D9" s="34" t="n"/>
      <c r="E9" s="34" t="n"/>
    </row>
    <row r="10" ht="20" customHeight="1">
      <c r="A10" s="31" t="inlineStr">
        <is>
          <t xml:space="preserve">  Jede Einheit trägt proportional zu ihrer Wohnfläche bei.</t>
        </is>
      </c>
      <c r="B10" s="32" t="n"/>
      <c r="C10" s="32" t="n"/>
      <c r="D10" s="32" t="n"/>
      <c r="E10" s="32" t="n"/>
    </row>
    <row r="11" ht="20" customHeight="1">
      <c r="A11" s="33" t="inlineStr">
        <is>
          <t xml:space="preserve">  Formel: (Wohnfläche der Einheit / Gesamtfläche) × 30% der Gesamtkosten</t>
        </is>
      </c>
      <c r="B11" s="34" t="n"/>
      <c r="C11" s="34" t="n"/>
      <c r="D11" s="34" t="n"/>
      <c r="E11" s="34" t="n"/>
    </row>
    <row r="12" ht="20" customHeight="1">
      <c r="A12" s="29" t="inlineStr">
        <is>
          <t>Wichtiger Hinweis:</t>
        </is>
      </c>
      <c r="B12" s="30" t="n"/>
      <c r="C12" s="30" t="n"/>
      <c r="D12" s="30" t="n"/>
      <c r="E12" s="30" t="n"/>
    </row>
    <row r="13" ht="20" customHeight="1">
      <c r="A13" s="33" t="inlineStr">
        <is>
          <t>Die Verteilung sollte mit der Heizkostenverordnung und den Ablesewerten des Messdienstleisters</t>
        </is>
      </c>
      <c r="B13" s="34" t="n"/>
      <c r="C13" s="34" t="n"/>
      <c r="D13" s="34" t="n"/>
      <c r="E13" s="34" t="n"/>
    </row>
    <row r="14" ht="20" customHeight="1">
      <c r="A14" s="31" t="inlineStr">
        <is>
          <t>abgestimmt werden. Bitte prüfen Sie die HKV-Stände mit dem Ableseprotokoll.</t>
        </is>
      </c>
      <c r="B14" s="32" t="n"/>
      <c r="C14" s="32" t="n"/>
      <c r="D14" s="32" t="n"/>
      <c r="E14" s="32" t="n"/>
    </row>
    <row r="15" ht="20" customHeight="1">
      <c r="A15" s="33" t="inlineStr">
        <is>
          <t>Abrechnungszeitraum: 01.01.2026 – 31.12.2026</t>
        </is>
      </c>
      <c r="B15" s="34" t="n"/>
      <c r="C15" s="34" t="n"/>
      <c r="D15" s="34" t="n"/>
      <c r="E15" s="34" t="n"/>
    </row>
    <row r="16"/>
    <row r="17"/>
    <row r="18">
      <c r="A18" s="35" t="inlineStr">
        <is>
          <t>Einheit</t>
        </is>
      </c>
      <c r="B18" s="35" t="inlineStr">
        <is>
          <t>Anteil gesamt €</t>
        </is>
      </c>
      <c r="C18" s="35" t="inlineStr">
        <is>
          <t>Wohnfläche m²</t>
        </is>
      </c>
      <c r="D18" s="35" t="inlineStr">
        <is>
          <t>Nachzahlung/Guthaben €</t>
        </is>
      </c>
    </row>
    <row r="19">
      <c r="A19" s="36" t="inlineStr">
        <is>
          <t>WE 01</t>
        </is>
      </c>
      <c r="B19" s="37">
        <f>IFERROR(VLOOKUP("WE 01",'Heizkosten-Daten'!$D$2:$Q$11,14,0),0)</f>
        <v/>
      </c>
      <c r="C19" s="38">
        <f>IFERROR(VLOOKUP("WE 01",'Heizkosten-Daten'!$D$2:$F$11,3,0),0)</f>
        <v/>
      </c>
      <c r="D19" s="37">
        <f>IFERROR(VLOOKUP("WE 01",'Heizkosten-Daten'!$D$2:$S$11,16,0),0)</f>
        <v/>
      </c>
    </row>
    <row r="20">
      <c r="A20" s="36" t="inlineStr">
        <is>
          <t>WE 02</t>
        </is>
      </c>
      <c r="B20" s="37">
        <f>IFERROR(VLOOKUP("WE 02",'Heizkosten-Daten'!$D$2:$Q$11,14,0),0)</f>
        <v/>
      </c>
      <c r="C20" s="38">
        <f>IFERROR(VLOOKUP("WE 02",'Heizkosten-Daten'!$D$2:$F$11,3,0),0)</f>
        <v/>
      </c>
      <c r="D20" s="37">
        <f>IFERROR(VLOOKUP("WE 02",'Heizkosten-Daten'!$D$2:$S$11,16,0),0)</f>
        <v/>
      </c>
    </row>
    <row r="21">
      <c r="A21" s="36" t="inlineStr">
        <is>
          <t>WE 03</t>
        </is>
      </c>
      <c r="B21" s="37">
        <f>IFERROR(VLOOKUP("WE 03",'Heizkosten-Daten'!$D$2:$Q$11,14,0),0)</f>
        <v/>
      </c>
      <c r="C21" s="38">
        <f>IFERROR(VLOOKUP("WE 03",'Heizkosten-Daten'!$D$2:$F$11,3,0),0)</f>
        <v/>
      </c>
      <c r="D21" s="37">
        <f>IFERROR(VLOOKUP("WE 03",'Heizkosten-Daten'!$D$2:$S$11,16,0),0)</f>
        <v/>
      </c>
    </row>
    <row r="22">
      <c r="A22" s="36" t="inlineStr">
        <is>
          <t>WE 04</t>
        </is>
      </c>
      <c r="B22" s="37">
        <f>IFERROR(VLOOKUP("WE 04",'Heizkosten-Daten'!$D$2:$Q$11,14,0),0)</f>
        <v/>
      </c>
      <c r="C22" s="38">
        <f>IFERROR(VLOOKUP("WE 04",'Heizkosten-Daten'!$D$2:$F$11,3,0),0)</f>
        <v/>
      </c>
      <c r="D22" s="37">
        <f>IFERROR(VLOOKUP("WE 04",'Heizkosten-Daten'!$D$2:$S$11,16,0),0)</f>
        <v/>
      </c>
    </row>
    <row r="23">
      <c r="A23" s="36" t="inlineStr">
        <is>
          <t>WE 05</t>
        </is>
      </c>
      <c r="B23" s="37">
        <f>IFERROR(VLOOKUP("WE 05",'Heizkosten-Daten'!$D$2:$Q$11,14,0),0)</f>
        <v/>
      </c>
      <c r="C23" s="38">
        <f>IFERROR(VLOOKUP("WE 05",'Heizkosten-Daten'!$D$2:$F$11,3,0),0)</f>
        <v/>
      </c>
      <c r="D23" s="37">
        <f>IFERROR(VLOOKUP("WE 05",'Heizkosten-Daten'!$D$2:$S$11,16,0),0)</f>
        <v/>
      </c>
    </row>
    <row r="24">
      <c r="A24" s="36" t="inlineStr">
        <is>
          <t>WE 06</t>
        </is>
      </c>
      <c r="B24" s="37">
        <f>IFERROR(VLOOKUP("WE 06",'Heizkosten-Daten'!$D$2:$Q$11,14,0),0)</f>
        <v/>
      </c>
      <c r="C24" s="38">
        <f>IFERROR(VLOOKUP("WE 06",'Heizkosten-Daten'!$D$2:$F$11,3,0),0)</f>
        <v/>
      </c>
      <c r="D24" s="37">
        <f>IFERROR(VLOOKUP("WE 06",'Heizkosten-Daten'!$D$2:$S$11,16,0),0)</f>
        <v/>
      </c>
    </row>
    <row r="25">
      <c r="A25" s="36" t="inlineStr">
        <is>
          <t>WE 07</t>
        </is>
      </c>
      <c r="B25" s="37">
        <f>IFERROR(VLOOKUP("WE 07",'Heizkosten-Daten'!$D$2:$Q$11,14,0),0)</f>
        <v/>
      </c>
      <c r="C25" s="38">
        <f>IFERROR(VLOOKUP("WE 07",'Heizkosten-Daten'!$D$2:$F$11,3,0),0)</f>
        <v/>
      </c>
      <c r="D25" s="37">
        <f>IFERROR(VLOOKUP("WE 07",'Heizkosten-Daten'!$D$2:$S$11,16,0),0)</f>
        <v/>
      </c>
    </row>
    <row r="26">
      <c r="A26" s="36" t="inlineStr">
        <is>
          <t>WE 08</t>
        </is>
      </c>
      <c r="B26" s="37">
        <f>IFERROR(VLOOKUP("WE 08",'Heizkosten-Daten'!$D$2:$Q$11,14,0),0)</f>
        <v/>
      </c>
      <c r="C26" s="38">
        <f>IFERROR(VLOOKUP("WE 08",'Heizkosten-Daten'!$D$2:$F$11,3,0),0)</f>
        <v/>
      </c>
      <c r="D26" s="37">
        <f>IFERROR(VLOOKUP("WE 08",'Heizkosten-Daten'!$D$2:$S$11,16,0),0)</f>
        <v/>
      </c>
    </row>
    <row r="27">
      <c r="A27" s="36" t="inlineStr">
        <is>
          <t>WE 09</t>
        </is>
      </c>
      <c r="B27" s="37">
        <f>IFERROR(VLOOKUP("WE 09",'Heizkosten-Daten'!$D$2:$Q$11,14,0),0)</f>
        <v/>
      </c>
      <c r="C27" s="38">
        <f>IFERROR(VLOOKUP("WE 09",'Heizkosten-Daten'!$D$2:$F$11,3,0),0)</f>
        <v/>
      </c>
      <c r="D27" s="37">
        <f>IFERROR(VLOOKUP("WE 09",'Heizkosten-Daten'!$D$2:$S$11,16,0),0)</f>
        <v/>
      </c>
    </row>
    <row r="28">
      <c r="A28" s="36" t="inlineStr">
        <is>
          <t>WE 10</t>
        </is>
      </c>
      <c r="B28" s="37">
        <f>IFERROR(VLOOKUP("WE 10",'Heizkosten-Daten'!$D$2:$Q$11,14,0),0)</f>
        <v/>
      </c>
      <c r="C28" s="38">
        <f>IFERROR(VLOOKUP("WE 10",'Heizkosten-Daten'!$D$2:$F$11,3,0),0)</f>
        <v/>
      </c>
      <c r="D28" s="37">
        <f>IFERROR(VLOOKUP("WE 10",'Heizkosten-Daten'!$D$2:$S$11,16,0),0)</f>
        <v/>
      </c>
    </row>
    <row r="29"/>
    <row r="30"/>
    <row r="31">
      <c r="A31" s="35" t="inlineStr">
        <is>
          <t>Kostenanteil</t>
        </is>
      </c>
      <c r="B31" s="35" t="inlineStr">
        <is>
          <t>Betrag €</t>
        </is>
      </c>
    </row>
    <row r="32">
      <c r="A32" s="36" t="inlineStr">
        <is>
          <t>70% Verbrauchsabhängig</t>
        </is>
      </c>
      <c r="B32" s="37">
        <f>SUM('Heizkosten-Daten'!K2:K11)/COUNT('Heizkosten-Daten'!K2:K11)*COUNT('Heizkosten-Daten'!K2:K11)</f>
        <v/>
      </c>
    </row>
    <row r="33">
      <c r="A33" s="36" t="inlineStr">
        <is>
          <t>30% Flächenabhängig</t>
        </is>
      </c>
      <c r="B33" s="37">
        <f>SUM('Heizkosten-Daten'!L2:L11)/COUNT('Heizkosten-Daten'!L2:L11)*COUNT('Heizkosten-Daten'!L2:L11)</f>
        <v/>
      </c>
    </row>
  </sheetData>
  <pageMargins left="0.75" right="0.75" top="1" bottom="1" header="0.5" footer="0.5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30"/>
  <sheetViews>
    <sheetView workbookViewId="0">
      <selection activeCell="A1" sqref="A1"/>
    </sheetView>
  </sheetViews>
  <sheetFormatPr baseColWidth="8" defaultRowHeight="15"/>
  <cols>
    <col width="30" customWidth="1" min="1" max="1"/>
    <col width="60" customWidth="1" min="2" max="2"/>
  </cols>
  <sheetData>
    <row r="1" ht="36" customHeight="1">
      <c r="A1" s="17" t="inlineStr">
        <is>
          <t>Anleitung zur Heizkostenverteilungs-Vorlage 70/30-Regel</t>
        </is>
      </c>
      <c r="B1" s="18" t="n"/>
    </row>
    <row r="2"/>
    <row r="3" ht="28" customHeight="1">
      <c r="A3" s="39" t="inlineStr">
        <is>
          <t>ALLGEMEINES</t>
        </is>
      </c>
      <c r="B3" s="40" t="inlineStr"/>
    </row>
    <row r="4" ht="28" customHeight="1">
      <c r="A4" s="41" t="inlineStr">
        <is>
          <t>Zweck dieser Vorlage</t>
        </is>
      </c>
      <c r="B4" s="31" t="inlineStr">
        <is>
          <t>Diese Excel-Vorlage unterstützt Vermieter, Hausverwaltungen und Eigentümer bei der Heizkostenabrechnung nach der 70/30-Regel gemäß Heizkostenverordnung (HeizkostenV).</t>
        </is>
      </c>
    </row>
    <row r="5" ht="28" customHeight="1">
      <c r="A5" s="42" t="inlineStr">
        <is>
          <t>Abrechnungsjahr</t>
        </is>
      </c>
      <c r="B5" s="33" t="inlineStr">
        <is>
          <t>Die Vorlage ist für das Abrechnungsjahr 2026 (01.01.2026–31.12.2026) vorbereitet.</t>
        </is>
      </c>
    </row>
    <row r="6" ht="28" customHeight="1">
      <c r="A6" s="39" t="inlineStr">
        <is>
          <t>SHEET 1: Heizkosten-Daten</t>
        </is>
      </c>
      <c r="B6" s="40" t="inlineStr"/>
    </row>
    <row r="7" ht="28" customHeight="1">
      <c r="A7" s="42" t="inlineStr">
        <is>
          <t>Eingabefelder (hellgelb)</t>
        </is>
      </c>
      <c r="B7" s="33" t="inlineStr">
        <is>
          <t>Bitte tragen Sie folgende Felder ein: Objekt, Adresse, Stadt, Einheit-Nr., Mieter/Eigentümer, Wohnfläche m², HKV-Stand alt, HKV-Stand neu, Gesamt-Heizkosten €, Vorauszahlungen €.</t>
        </is>
      </c>
    </row>
    <row r="8" ht="28" customHeight="1">
      <c r="A8" s="41" t="inlineStr">
        <is>
          <t>Spalte I – Verbrauchseinheiten</t>
        </is>
      </c>
      <c r="B8" s="31" t="inlineStr">
        <is>
          <t>Wird automatisch berechnet: HKV-Stand neu minus HKV-Stand alt.</t>
        </is>
      </c>
    </row>
    <row r="9" ht="28" customHeight="1">
      <c r="A9" s="42" t="inlineStr">
        <is>
          <t>Spalte K – 70% verbrauchsabh. €</t>
        </is>
      </c>
      <c r="B9" s="33" t="inlineStr">
        <is>
          <t>70% der Gesamt-Heizkosten dieser Einheit. Basis für die verbrauchsproportionale Verteilung.</t>
        </is>
      </c>
    </row>
    <row r="10" ht="28" customHeight="1">
      <c r="A10" s="41" t="inlineStr">
        <is>
          <t>Spalte L – 30% flächenabh. €</t>
        </is>
      </c>
      <c r="B10" s="31" t="inlineStr">
        <is>
          <t>30% der Gesamt-Heizkosten dieser Einheit. Basis für die flächenproportionale Verteilung.</t>
        </is>
      </c>
    </row>
    <row r="11" ht="28" customHeight="1">
      <c r="A11" s="42" t="inlineStr">
        <is>
          <t>Spalte M – Anteil Verbrauch %</t>
        </is>
      </c>
      <c r="B11" s="33" t="inlineStr">
        <is>
          <t>Prozentualer Verbrauchsanteil der Einheit an allen Einheiten.</t>
        </is>
      </c>
    </row>
    <row r="12" ht="28" customHeight="1">
      <c r="A12" s="41" t="inlineStr">
        <is>
          <t>Spalte N – Anteil Fläche %</t>
        </is>
      </c>
      <c r="B12" s="31" t="inlineStr">
        <is>
          <t>Prozentualer Flächenanteil der Einheit an der Gesamtfläche.</t>
        </is>
      </c>
    </row>
    <row r="13" ht="28" customHeight="1">
      <c r="A13" s="42" t="inlineStr">
        <is>
          <t>Spalte O – Verteilungssatz €/Einheit</t>
        </is>
      </c>
      <c r="B13" s="33" t="inlineStr">
        <is>
          <t>Kosten pro HKV-Einheit (70%-Anteil geteilt durch Gesamtverbrauch).</t>
        </is>
      </c>
    </row>
    <row r="14" ht="28" customHeight="1">
      <c r="A14" s="41" t="inlineStr">
        <is>
          <t>Spalte P – Verteilungssatz €/m²</t>
        </is>
      </c>
      <c r="B14" s="31" t="inlineStr">
        <is>
          <t>Kosten pro m² (30%-Anteil geteilt durch Gesamtfläche).</t>
        </is>
      </c>
    </row>
    <row r="15" ht="28" customHeight="1">
      <c r="A15" s="42" t="inlineStr">
        <is>
          <t>Spalte Q – Anteil gesamt €</t>
        </is>
      </c>
      <c r="B15" s="33" t="inlineStr">
        <is>
          <t>Der Gesamtheizkostenbetrag für diese Einheit: (Verbrauch × Satz/Einheit) + (Fläche × Satz/m²).</t>
        </is>
      </c>
    </row>
    <row r="16" ht="28" customHeight="1">
      <c r="A16" s="41" t="inlineStr">
        <is>
          <t>Spalte S – Nachzahlung/Guthaben</t>
        </is>
      </c>
      <c r="B16" s="31" t="inlineStr">
        <is>
          <t>Positiver Wert = Nachzahlung (rot markiert). Negativer Wert = Guthaben (grün markiert).</t>
        </is>
      </c>
    </row>
    <row r="17" ht="28" customHeight="1">
      <c r="A17" s="42" t="inlineStr">
        <is>
          <t>Spalte T – Status</t>
        </is>
      </c>
      <c r="B17" s="33" t="inlineStr">
        <is>
          <t>Zeigt automatisch 'Nachzahlung', 'Guthaben' oder 'Ausgeglichen'.</t>
        </is>
      </c>
    </row>
    <row r="18" ht="28" customHeight="1">
      <c r="A18" s="39" t="inlineStr">
        <is>
          <t>SHEET 2: Abrechnung &amp; Übersicht</t>
        </is>
      </c>
      <c r="B18" s="40" t="inlineStr"/>
    </row>
    <row r="19" ht="28" customHeight="1">
      <c r="A19" s="42" t="inlineStr">
        <is>
          <t>Zusammenfassung</t>
        </is>
      </c>
      <c r="B19" s="33" t="inlineStr">
        <is>
          <t>Alle Kennzahlen werden automatisch aus Sheet 1 berechnet: Gesamtkosten, Gesamtverbrauch, Gesamtfläche, Vorauszahlungen, Nachzahlungen, Guthaben.</t>
        </is>
      </c>
    </row>
    <row r="20" ht="28" customHeight="1">
      <c r="A20" s="41" t="inlineStr">
        <is>
          <t>Einheitenabfrage</t>
        </is>
      </c>
      <c r="B20" s="31" t="inlineStr">
        <is>
          <t>Geben Sie in Zelle B21 eine Einheitsnummer (z.B. 'WE 03') ein, um Mieter und Kosten direkt anzuzeigen (VLOOKUP).</t>
        </is>
      </c>
    </row>
    <row r="21" ht="28" customHeight="1">
      <c r="A21" s="42" t="inlineStr">
        <is>
          <t>Ampelprüfung</t>
        </is>
      </c>
      <c r="B21" s="33" t="inlineStr">
        <is>
          <t>Zelle B25 zeigt 'Prüfen', 'Hinweis' oder 'OK' je nach Höhe der Gesamtabweichung.</t>
        </is>
      </c>
    </row>
    <row r="22" ht="28" customHeight="1">
      <c r="A22" s="39" t="inlineStr">
        <is>
          <t>SHEET 3: Diagramm &amp; Hinweise</t>
        </is>
      </c>
      <c r="B22" s="40" t="inlineStr"/>
    </row>
    <row r="23" ht="28" customHeight="1">
      <c r="A23" s="42" t="inlineStr">
        <is>
          <t>Säulendiagramm</t>
        </is>
      </c>
      <c r="B23" s="33" t="inlineStr">
        <is>
          <t>Zeigt den Heizkostenanteil je Wohneinheit in €.</t>
        </is>
      </c>
    </row>
    <row r="24" ht="28" customHeight="1">
      <c r="A24" s="41" t="inlineStr">
        <is>
          <t>Kreisdiagramm</t>
        </is>
      </c>
      <c r="B24" s="31" t="inlineStr">
        <is>
          <t>Visualisiert die Aufteilung 70% (verbrauchsabhängig) zu 30% (flächenabhängig).</t>
        </is>
      </c>
    </row>
    <row r="25" ht="28" customHeight="1">
      <c r="A25" s="42" t="inlineStr">
        <is>
          <t>Balkendiagramm</t>
        </is>
      </c>
      <c r="B25" s="33" t="inlineStr">
        <is>
          <t>Stellt Nachzahlungen und Guthaben je Einheit grafisch dar.</t>
        </is>
      </c>
    </row>
    <row r="26" ht="28" customHeight="1">
      <c r="A26" s="39" t="inlineStr">
        <is>
          <t>WICHTIGE HINWEISE</t>
        </is>
      </c>
      <c r="B26" s="40" t="inlineStr"/>
    </row>
    <row r="27" ht="28" customHeight="1">
      <c r="A27" s="42" t="inlineStr">
        <is>
          <t>Heizkostenverordnung</t>
        </is>
      </c>
      <c r="B27" s="33" t="inlineStr">
        <is>
          <t>Die Mindestquote für die verbrauchsabhängige Abrechnung beträgt 50%, die Höchstquote 70% (§ 7 HeizkostenV). Diese Vorlage verwendet 70%.</t>
        </is>
      </c>
    </row>
    <row r="28" ht="28" customHeight="1">
      <c r="A28" s="41" t="inlineStr">
        <is>
          <t>Messdienstleister</t>
        </is>
      </c>
      <c r="B28" s="31" t="inlineStr">
        <is>
          <t>Die HKV-Stände sollten mit dem Ableseprotokoll des Messdienstleisters abgeglichen werden.</t>
        </is>
      </c>
    </row>
    <row r="29" ht="28" customHeight="1">
      <c r="A29" s="42" t="inlineStr">
        <is>
          <t>Steuerliche Hinweise</t>
        </is>
      </c>
      <c r="B29" s="33" t="inlineStr">
        <is>
          <t>Bitte wenden Sie sich für steuerliche und rechtliche Fragen an einen Steuerberater oder Rechtsanwalt.</t>
        </is>
      </c>
    </row>
    <row r="30" ht="28" customHeight="1">
      <c r="A30" s="41" t="inlineStr">
        <is>
          <t>Datenschutz</t>
        </is>
      </c>
      <c r="B30" s="31" t="inlineStr">
        <is>
          <t>Personenbezogene Daten (Mieternamen etc.) sind gemäß DSGVO zu behandeln und sicher aufzubewahren.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2026-06-19T11:55:58Z</dcterms:created>
  <dcterms:modified xmlns:dcterms="http://purl.org/dc/terms/" xmlns:xsi="http://www.w3.org/2001/XMLSchema-instance" xsi:type="dcterms:W3CDTF">2026-06-19T11:55:58Z</dcterms:modified>
</cp:coreProperties>
</file>