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ostenübersicht" sheetId="1" state="visible" r:id="rId1"/>
    <sheet xmlns:r="http://schemas.openxmlformats.org/officeDocument/2006/relationships" name="Verteilerschlüssel" sheetId="2" state="visible" r:id="rId2"/>
    <sheet xmlns:r="http://schemas.openxmlformats.org/officeDocument/2006/relationships" name="Auswertung &amp; Dashboard" sheetId="3" state="visible" r:id="rId3"/>
    <sheet xmlns:r="http://schemas.openxmlformats.org/officeDocument/2006/relationships" name="Hinweise" sheetId="4" state="visible" r:id="rId4"/>
  </sheets>
  <definedNames>
    <definedName name="_xlnm._FilterDatabase" localSheetId="0" hidden="1">'Kostenübersicht'!$A$2:$S$12</definedName>
    <definedName name="_xlnm._FilterDatabase" localSheetId="1" hidden="1">'Verteilerschlüssel'!$A$2:$J$12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DD.MM.YYYY"/>
    <numFmt numFmtId="165" formatCode="#,##0.00\ &quot;€&quot;"/>
    <numFmt numFmtId="166" formatCode="0.0%"/>
    <numFmt numFmtId="167" formatCode="#,##0.0\ &quot;m²&quot;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22C55E"/>
      <sz val="10"/>
    </font>
    <font>
      <name val="Calibri"/>
      <b val="1"/>
      <color rgb="00DC2626"/>
      <sz val="10"/>
    </font>
    <font>
      <name val="Calibri"/>
      <b val="1"/>
      <sz val="10"/>
    </font>
    <font>
      <name val="Calibri"/>
      <b val="1"/>
      <color rgb="000F766E"/>
      <sz val="10"/>
    </font>
    <font>
      <name val="Calibri"/>
      <b val="1"/>
      <color rgb="00FFFFFF"/>
      <sz val="10"/>
    </font>
    <font>
      <name val="Calibri"/>
      <color rgb="00FFFFFF"/>
      <sz val="10"/>
    </font>
    <font>
      <name val="Calibri"/>
      <b val="1"/>
      <color rgb="00DC2626"/>
      <sz val="11"/>
    </font>
    <font>
      <name val="Calibri"/>
      <color rgb="00DC2626"/>
      <sz val="10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14B8A6"/>
      </patternFill>
    </fill>
    <fill>
      <patternFill patternType="solid">
        <fgColor rgb="00FEF2F2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5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left" vertical="center"/>
    </xf>
    <xf numFmtId="166" fontId="3" fillId="4" borderId="1" applyAlignment="1" pivotButton="0" quotePrefix="0" xfId="0">
      <alignment horizontal="left" vertical="center"/>
    </xf>
    <xf numFmtId="1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4" fontId="3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165" fontId="3" fillId="5" borderId="1" applyAlignment="1" pivotButton="0" quotePrefix="0" xfId="0">
      <alignment horizontal="left" vertical="center"/>
    </xf>
    <xf numFmtId="166" fontId="3" fillId="5" borderId="1" applyAlignment="1" pivotButton="0" quotePrefix="0" xfId="0">
      <alignment horizontal="left" vertical="center"/>
    </xf>
    <xf numFmtId="1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6" fillId="4" borderId="1" pivotButton="0" quotePrefix="0" xfId="0"/>
    <xf numFmtId="165" fontId="6" fillId="4" borderId="1" pivotButton="0" quotePrefix="0" xfId="0"/>
    <xf numFmtId="0" fontId="0" fillId="4" borderId="1" pivotButton="0" quotePrefix="0" xfId="0"/>
    <xf numFmtId="1" fontId="6" fillId="4" borderId="1" pivotButton="0" quotePrefix="0" xfId="0"/>
    <xf numFmtId="167" fontId="3" fillId="4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right" vertical="center"/>
    </xf>
    <xf numFmtId="167" fontId="3" fillId="5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167" fontId="6" fillId="4" borderId="1" pivotButton="0" quotePrefix="0" xfId="0"/>
    <xf numFmtId="166" fontId="6" fillId="4" borderId="1" pivotButton="0" quotePrefix="0" xfId="0"/>
    <xf numFmtId="49" fontId="6" fillId="4" borderId="1" pivotButton="0" quotePrefix="0" xfId="0"/>
    <xf numFmtId="0" fontId="2" fillId="3" borderId="0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165" fontId="7" fillId="6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/>
    </xf>
    <xf numFmtId="166" fontId="7" fillId="6" borderId="1" applyAlignment="1" pivotButton="0" quotePrefix="0" xfId="0">
      <alignment horizontal="right" vertical="center"/>
    </xf>
    <xf numFmtId="1" fontId="7" fillId="6" borderId="1" applyAlignment="1" pivotButton="0" quotePrefix="0" xfId="0">
      <alignment horizontal="right" vertical="center"/>
    </xf>
    <xf numFmtId="0" fontId="8" fillId="7" borderId="1" pivotButton="0" quotePrefix="0" xfId="0"/>
    <xf numFmtId="0" fontId="8" fillId="7" borderId="1" applyAlignment="1" pivotButton="0" quotePrefix="0" xfId="0">
      <alignment horizontal="center" vertical="center"/>
    </xf>
    <xf numFmtId="0" fontId="3" fillId="4" borderId="1" pivotButton="0" quotePrefix="0" xfId="0"/>
    <xf numFmtId="165" fontId="3" fillId="4" borderId="1" pivotButton="0" quotePrefix="0" xfId="0"/>
    <xf numFmtId="0" fontId="3" fillId="5" borderId="1" pivotButton="0" quotePrefix="0" xfId="0"/>
    <xf numFmtId="165" fontId="3" fillId="5" borderId="1" pivotButton="0" quotePrefix="0" xfId="0"/>
    <xf numFmtId="165" fontId="0" fillId="4" borderId="1" pivotButton="0" quotePrefix="0" xfId="0"/>
    <xf numFmtId="165" fontId="0" fillId="5" borderId="1" pivotButton="0" quotePrefix="0" xfId="0"/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/>
    </xf>
    <xf numFmtId="0" fontId="9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10" fillId="8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left" vertical="center"/>
    </xf>
    <xf numFmtId="0" fontId="11" fillId="8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Bruttobetrag je Monat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 &amp; Dashboard'!B14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'Auswertung &amp; Dashboard'!$A$15:$A$26</f>
            </numRef>
          </cat>
          <val>
            <numRef>
              <f>'Auswertung &amp; Dashboard'!$B$15:$B$26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Umlagefähig vs. Nicht umlagefähig</a:t>
            </a:r>
          </a:p>
        </rich>
      </tx>
    </title>
    <plotArea>
      <pieChart>
        <varyColors val="1"/>
        <ser>
          <idx val="0"/>
          <order val="0"/>
          <tx>
            <strRef>
              <f>'Auswertung &amp; Dashboard'!B29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'Auswertung &amp; Dashboard'!$A$30:$A$31</f>
            </numRef>
          </cat>
          <val>
            <numRef>
              <f>'Auswertung &amp; Dashboard'!$B$30:$B$31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648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17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15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2" customWidth="1" min="3" max="3"/>
    <col width="22" customWidth="1" min="4" max="4"/>
    <col width="22" customWidth="1" min="5" max="5"/>
    <col width="26" customWidth="1" min="6" max="6"/>
    <col width="20" customWidth="1" min="7" max="7"/>
    <col width="28" customWidth="1" min="8" max="8"/>
    <col width="13" customWidth="1" min="9" max="9"/>
    <col width="14" customWidth="1" min="10" max="10"/>
    <col width="10" customWidth="1" min="11" max="11"/>
    <col width="14" customWidth="1" min="12" max="12"/>
    <col width="20" customWidth="1" min="13" max="13"/>
    <col width="14" customWidth="1" min="14" max="14"/>
    <col width="14" customWidth="1" min="15" max="15"/>
    <col width="8" customWidth="1" min="16" max="16"/>
    <col width="6" customWidth="1" min="17" max="17"/>
    <col width="16" customWidth="1" min="18" max="18"/>
    <col width="28" customWidth="1" min="19" max="19"/>
  </cols>
  <sheetData>
    <row r="1" ht="28" customHeight="1">
      <c r="A1" s="1" t="inlineStr">
        <is>
          <t>Gartenpflege-Kosten Umlage – Kostenübersicht 2026</t>
        </is>
      </c>
    </row>
    <row r="2" ht="22" customHeight="1">
      <c r="A2" s="2" t="inlineStr">
        <is>
          <t>Buchungsdatum</t>
        </is>
      </c>
      <c r="B2" s="2" t="inlineStr">
        <is>
          <t>Leistungsdatum</t>
        </is>
      </c>
      <c r="C2" s="2" t="inlineStr">
        <is>
          <t>Belegnummer</t>
        </is>
      </c>
      <c r="D2" s="2" t="inlineStr">
        <is>
          <t>Anbieter/Dienstleister</t>
        </is>
      </c>
      <c r="E2" s="2" t="inlineStr">
        <is>
          <t>Objekt</t>
        </is>
      </c>
      <c r="F2" s="2" t="inlineStr">
        <is>
          <t>Adresse</t>
        </is>
      </c>
      <c r="G2" s="2" t="inlineStr">
        <is>
          <t>Kostenart</t>
        </is>
      </c>
      <c r="H2" s="2" t="inlineStr">
        <is>
          <t>Beschreibung</t>
        </is>
      </c>
      <c r="I2" s="2" t="inlineStr">
        <is>
          <t>Umlagefähig?</t>
        </is>
      </c>
      <c r="J2" s="2" t="inlineStr">
        <is>
          <t>Nettobetrag</t>
        </is>
      </c>
      <c r="K2" s="2" t="inlineStr">
        <is>
          <t>MwSt. %</t>
        </is>
      </c>
      <c r="L2" s="2" t="inlineStr">
        <is>
          <t>Bruttobetrag</t>
        </is>
      </c>
      <c r="M2" s="2" t="inlineStr">
        <is>
          <t>Verteilerschlüssel</t>
        </is>
      </c>
      <c r="N2" s="2" t="inlineStr">
        <is>
          <t>Umlageanteil %</t>
        </is>
      </c>
      <c r="O2" s="2" t="inlineStr">
        <is>
          <t>Umlagebetrag</t>
        </is>
      </c>
      <c r="P2" s="2" t="inlineStr">
        <is>
          <t>Monat</t>
        </is>
      </c>
      <c r="Q2" s="2" t="inlineStr">
        <is>
          <t>Jahr</t>
        </is>
      </c>
      <c r="R2" s="2" t="inlineStr">
        <is>
          <t>Zahlungsstatus</t>
        </is>
      </c>
      <c r="S2" s="2" t="inlineStr">
        <is>
          <t>Hinweis</t>
        </is>
      </c>
    </row>
    <row r="3">
      <c r="A3" s="3" t="inlineStr">
        <is>
          <t>15.01.2026</t>
        </is>
      </c>
      <c r="B3" s="3" t="inlineStr">
        <is>
          <t>10.01.2026</t>
        </is>
      </c>
      <c r="C3" s="4" t="inlineStr">
        <is>
          <t>BEL-2026-001</t>
        </is>
      </c>
      <c r="D3" s="4" t="inlineStr">
        <is>
          <t>Thomas Becker Gartendienst</t>
        </is>
      </c>
      <c r="E3" s="4" t="inlineStr">
        <is>
          <t>Objekt Berlin</t>
        </is>
      </c>
      <c r="F3" s="4" t="inlineStr">
        <is>
          <t>Hauptstraße 12, Berlin</t>
        </is>
      </c>
      <c r="G3" s="4" t="inlineStr">
        <is>
          <t>Rasenmähen</t>
        </is>
      </c>
      <c r="H3" s="4" t="inlineStr">
        <is>
          <t>Monatliches Rasenmähen Jan.</t>
        </is>
      </c>
      <c r="I3" s="5" t="inlineStr">
        <is>
          <t>Ja</t>
        </is>
      </c>
      <c r="J3" s="6" t="n">
        <v>145</v>
      </c>
      <c r="K3" s="7" t="n">
        <v>0.19</v>
      </c>
      <c r="L3" s="6">
        <f>J3*(1+K3)</f>
        <v/>
      </c>
      <c r="M3" s="4" t="inlineStr">
        <is>
          <t>Wohnfläche</t>
        </is>
      </c>
      <c r="N3" s="7">
        <f>IFERROR(VLOOKUP(M3,Verteilerschlüssel!$A:$H,8,0),0)</f>
        <v/>
      </c>
      <c r="O3" s="6">
        <f>IF(I3="Ja",L3*N3,0)</f>
        <v/>
      </c>
      <c r="P3" s="8">
        <f>IFERROR(MONTH(A3),"")</f>
        <v/>
      </c>
      <c r="Q3" s="8">
        <f>IFERROR(YEAR(A3),"")</f>
        <v/>
      </c>
      <c r="R3" s="9" t="inlineStr">
        <is>
          <t>Bezahlt</t>
        </is>
      </c>
      <c r="S3" s="4">
        <f>IFERROR(IF(N3=0,"Kein Schlüssel gefunden",""),"Fehler")</f>
        <v/>
      </c>
    </row>
    <row r="4">
      <c r="A4" s="10" t="inlineStr">
        <is>
          <t>03.02.2026</t>
        </is>
      </c>
      <c r="B4" s="10" t="inlineStr">
        <is>
          <t>28.01.2026</t>
        </is>
      </c>
      <c r="C4" s="11" t="inlineStr">
        <is>
          <t>BEL-2026-002</t>
        </is>
      </c>
      <c r="D4" s="11" t="inlineStr">
        <is>
          <t>GreenCare GmbH</t>
        </is>
      </c>
      <c r="E4" s="11" t="inlineStr">
        <is>
          <t>Objekt München</t>
        </is>
      </c>
      <c r="F4" s="11" t="inlineStr">
        <is>
          <t>Lindenallee 7, München</t>
        </is>
      </c>
      <c r="G4" s="11" t="inlineStr">
        <is>
          <t>Heckenschnitt</t>
        </is>
      </c>
      <c r="H4" s="11" t="inlineStr">
        <is>
          <t>Heckenschnitt Winterende</t>
        </is>
      </c>
      <c r="I4" s="12" t="inlineStr">
        <is>
          <t>Ja</t>
        </is>
      </c>
      <c r="J4" s="13" t="n">
        <v>210</v>
      </c>
      <c r="K4" s="14" t="n">
        <v>0.19</v>
      </c>
      <c r="L4" s="13">
        <f>J4*(1+K4)</f>
        <v/>
      </c>
      <c r="M4" s="11" t="inlineStr">
        <is>
          <t>Wohnfläche</t>
        </is>
      </c>
      <c r="N4" s="14">
        <f>IFERROR(VLOOKUP(M4,Verteilerschlüssel!$A:$H,8,0),0)</f>
        <v/>
      </c>
      <c r="O4" s="13">
        <f>IF(I4="Ja",L4*N4,0)</f>
        <v/>
      </c>
      <c r="P4" s="15">
        <f>IFERROR(MONTH(A4),"")</f>
        <v/>
      </c>
      <c r="Q4" s="15">
        <f>IFERROR(YEAR(A4),"")</f>
        <v/>
      </c>
      <c r="R4" s="16" t="inlineStr">
        <is>
          <t>Bezahlt</t>
        </is>
      </c>
      <c r="S4" s="11">
        <f>IFERROR(IF(N4=0,"Kein Schlüssel gefunden",""),"Fehler")</f>
        <v/>
      </c>
    </row>
    <row r="5">
      <c r="A5" s="3" t="inlineStr">
        <is>
          <t>18.03.2026</t>
        </is>
      </c>
      <c r="B5" s="3" t="inlineStr">
        <is>
          <t>15.03.2026</t>
        </is>
      </c>
      <c r="C5" s="4" t="inlineStr">
        <is>
          <t>BEL-2026-003</t>
        </is>
      </c>
      <c r="D5" s="4" t="inlineStr">
        <is>
          <t>Andreas Schneider Grünpflege</t>
        </is>
      </c>
      <c r="E5" s="4" t="inlineStr">
        <is>
          <t>Objekt Hamburg</t>
        </is>
      </c>
      <c r="F5" s="4" t="inlineStr">
        <is>
          <t>Goethestraße 45, Hamburg</t>
        </is>
      </c>
      <c r="G5" s="4" t="inlineStr">
        <is>
          <t>Laubentfernung</t>
        </is>
      </c>
      <c r="H5" s="4" t="inlineStr">
        <is>
          <t>Laubentfernung Frühjahr</t>
        </is>
      </c>
      <c r="I5" s="5" t="inlineStr">
        <is>
          <t>Ja</t>
        </is>
      </c>
      <c r="J5" s="6" t="n">
        <v>98</v>
      </c>
      <c r="K5" s="7" t="n">
        <v>0.07000000000000001</v>
      </c>
      <c r="L5" s="6">
        <f>J5*(1+K5)</f>
        <v/>
      </c>
      <c r="M5" s="4" t="inlineStr">
        <is>
          <t>Wohneinheiten</t>
        </is>
      </c>
      <c r="N5" s="7">
        <f>IFERROR(VLOOKUP(M5,Verteilerschlüssel!$A:$H,8,0),0)</f>
        <v/>
      </c>
      <c r="O5" s="6">
        <f>IF(I5="Ja",L5*N5,0)</f>
        <v/>
      </c>
      <c r="P5" s="8">
        <f>IFERROR(MONTH(A5),"")</f>
        <v/>
      </c>
      <c r="Q5" s="8">
        <f>IFERROR(YEAR(A5),"")</f>
        <v/>
      </c>
      <c r="R5" s="9" t="inlineStr">
        <is>
          <t>Bezahlt</t>
        </is>
      </c>
      <c r="S5" s="4">
        <f>IFERROR(IF(N5=0,"Kein Schlüssel gefunden",""),"Fehler")</f>
        <v/>
      </c>
    </row>
    <row r="6">
      <c r="A6" s="10" t="inlineStr">
        <is>
          <t>05.05.2026</t>
        </is>
      </c>
      <c r="B6" s="10" t="inlineStr">
        <is>
          <t>01.05.2026</t>
        </is>
      </c>
      <c r="C6" s="11" t="inlineStr">
        <is>
          <t>BEL-2026-004</t>
        </is>
      </c>
      <c r="D6" s="11" t="inlineStr">
        <is>
          <t>Bewässerungs-Service Wagner</t>
        </is>
      </c>
      <c r="E6" s="11" t="inlineStr">
        <is>
          <t>Objekt Köln</t>
        </is>
      </c>
      <c r="F6" s="11" t="inlineStr">
        <is>
          <t>Ahornweg 18, Köln</t>
        </is>
      </c>
      <c r="G6" s="11" t="inlineStr">
        <is>
          <t>Bewässerung</t>
        </is>
      </c>
      <c r="H6" s="11" t="inlineStr">
        <is>
          <t>Bewässerung Sommermonat Mai</t>
        </is>
      </c>
      <c r="I6" s="12" t="inlineStr">
        <is>
          <t>Ja</t>
        </is>
      </c>
      <c r="J6" s="13" t="n">
        <v>76.5</v>
      </c>
      <c r="K6" s="14" t="n">
        <v>0.19</v>
      </c>
      <c r="L6" s="13">
        <f>J6*(1+K6)</f>
        <v/>
      </c>
      <c r="M6" s="11" t="inlineStr">
        <is>
          <t>Wohnfläche</t>
        </is>
      </c>
      <c r="N6" s="14">
        <f>IFERROR(VLOOKUP(M6,Verteilerschlüssel!$A:$H,8,0),0)</f>
        <v/>
      </c>
      <c r="O6" s="13">
        <f>IF(I6="Ja",L6*N6,0)</f>
        <v/>
      </c>
      <c r="P6" s="15">
        <f>IFERROR(MONTH(A6),"")</f>
        <v/>
      </c>
      <c r="Q6" s="15">
        <f>IFERROR(YEAR(A6),"")</f>
        <v/>
      </c>
      <c r="R6" s="16" t="inlineStr">
        <is>
          <t>Offen</t>
        </is>
      </c>
      <c r="S6" s="11">
        <f>IFERROR(IF(N6=0,"Kein Schlüssel gefunden",""),"Fehler")</f>
        <v/>
      </c>
    </row>
    <row r="7">
      <c r="A7" s="3" t="inlineStr">
        <is>
          <t>12.06.2026</t>
        </is>
      </c>
      <c r="B7" s="3" t="inlineStr">
        <is>
          <t>10.06.2026</t>
        </is>
      </c>
      <c r="C7" s="4" t="inlineStr">
        <is>
          <t>BEL-2026-005</t>
        </is>
      </c>
      <c r="D7" s="4" t="inlineStr">
        <is>
          <t>Michael Hoffmann Entsorgung</t>
        </is>
      </c>
      <c r="E7" s="4" t="inlineStr">
        <is>
          <t>Objekt Frankfurt</t>
        </is>
      </c>
      <c r="F7" s="4" t="inlineStr">
        <is>
          <t>Parkstraße 22, Frankfurt am Main</t>
        </is>
      </c>
      <c r="G7" s="4" t="inlineStr">
        <is>
          <t>Entsorgung Grünabfall</t>
        </is>
      </c>
      <c r="H7" s="4" t="inlineStr">
        <is>
          <t>Grünabfall-Entsorgung Juni</t>
        </is>
      </c>
      <c r="I7" s="5" t="inlineStr">
        <is>
          <t>Ja</t>
        </is>
      </c>
      <c r="J7" s="6" t="n">
        <v>54</v>
      </c>
      <c r="K7" s="7" t="n">
        <v>0.19</v>
      </c>
      <c r="L7" s="6">
        <f>J7*(1+K7)</f>
        <v/>
      </c>
      <c r="M7" s="4" t="inlineStr">
        <is>
          <t>Personenanzahl</t>
        </is>
      </c>
      <c r="N7" s="7">
        <f>IFERROR(VLOOKUP(M7,Verteilerschlüssel!$A:$H,8,0),0)</f>
        <v/>
      </c>
      <c r="O7" s="6">
        <f>IF(I7="Ja",L7*N7,0)</f>
        <v/>
      </c>
      <c r="P7" s="8">
        <f>IFERROR(MONTH(A7),"")</f>
        <v/>
      </c>
      <c r="Q7" s="8">
        <f>IFERROR(YEAR(A7),"")</f>
        <v/>
      </c>
      <c r="R7" s="9" t="inlineStr">
        <is>
          <t>Bezahlt</t>
        </is>
      </c>
      <c r="S7" s="4">
        <f>IFERROR(IF(N7=0,"Kein Schlüssel gefunden",""),"Fehler")</f>
        <v/>
      </c>
    </row>
    <row r="8">
      <c r="A8" s="10" t="inlineStr">
        <is>
          <t>20.06.2026</t>
        </is>
      </c>
      <c r="B8" s="10" t="inlineStr">
        <is>
          <t>18.06.2026</t>
        </is>
      </c>
      <c r="C8" s="11" t="inlineStr">
        <is>
          <t>BEL-2026-006</t>
        </is>
      </c>
      <c r="D8" s="11" t="inlineStr">
        <is>
          <t>Julia Richter Gartenbau</t>
        </is>
      </c>
      <c r="E8" s="11" t="inlineStr">
        <is>
          <t>Objekt Stuttgart</t>
        </is>
      </c>
      <c r="F8" s="11" t="inlineStr">
        <is>
          <t>Blumenstraße 9, Stuttgart</t>
        </is>
      </c>
      <c r="G8" s="11" t="inlineStr">
        <is>
          <t>Ersatzpflanzen</t>
        </is>
      </c>
      <c r="H8" s="11" t="inlineStr">
        <is>
          <t>Neubepflanzung Beete</t>
        </is>
      </c>
      <c r="I8" s="17" t="inlineStr">
        <is>
          <t>Nein</t>
        </is>
      </c>
      <c r="J8" s="13" t="n">
        <v>180</v>
      </c>
      <c r="K8" s="14" t="n">
        <v>0.07000000000000001</v>
      </c>
      <c r="L8" s="13">
        <f>J8*(1+K8)</f>
        <v/>
      </c>
      <c r="M8" s="11" t="inlineStr">
        <is>
          <t>Wohnfläche</t>
        </is>
      </c>
      <c r="N8" s="14">
        <f>IFERROR(VLOOKUP(M8,Verteilerschlüssel!$A:$H,8,0),0)</f>
        <v/>
      </c>
      <c r="O8" s="13">
        <f>IF(I8="Ja",L8*N8,0)</f>
        <v/>
      </c>
      <c r="P8" s="15">
        <f>IFERROR(MONTH(A8),"")</f>
        <v/>
      </c>
      <c r="Q8" s="15">
        <f>IFERROR(YEAR(A8),"")</f>
        <v/>
      </c>
      <c r="R8" s="16" t="inlineStr">
        <is>
          <t>Bezahlt</t>
        </is>
      </c>
      <c r="S8" s="11" t="inlineStr">
        <is>
          <t>Keine Umlage: Investition</t>
        </is>
      </c>
    </row>
    <row r="9">
      <c r="A9" s="3" t="inlineStr">
        <is>
          <t>08.07.2026</t>
        </is>
      </c>
      <c r="B9" s="3" t="inlineStr">
        <is>
          <t>05.07.2026</t>
        </is>
      </c>
      <c r="C9" s="4" t="inlineStr">
        <is>
          <t>BEL-2026-007</t>
        </is>
      </c>
      <c r="D9" s="4" t="inlineStr">
        <is>
          <t>Stefan Weber Baumpflege</t>
        </is>
      </c>
      <c r="E9" s="4" t="inlineStr">
        <is>
          <t>Objekt Düsseldorf</t>
        </is>
      </c>
      <c r="F9" s="4" t="inlineStr">
        <is>
          <t>Kastanienweg 3, Düsseldorf</t>
        </is>
      </c>
      <c r="G9" s="4" t="inlineStr">
        <is>
          <t>Baumpflege</t>
        </is>
      </c>
      <c r="H9" s="4" t="inlineStr">
        <is>
          <t>Baumpflegeschnitt Sommer</t>
        </is>
      </c>
      <c r="I9" s="5" t="inlineStr">
        <is>
          <t>Ja</t>
        </is>
      </c>
      <c r="J9" s="6" t="n">
        <v>320</v>
      </c>
      <c r="K9" s="7" t="n">
        <v>0.19</v>
      </c>
      <c r="L9" s="6">
        <f>J9*(1+K9)</f>
        <v/>
      </c>
      <c r="M9" s="4" t="inlineStr">
        <is>
          <t>Wohnfläche</t>
        </is>
      </c>
      <c r="N9" s="7">
        <f>IFERROR(VLOOKUP(M9,Verteilerschlüssel!$A:$H,8,0),0)</f>
        <v/>
      </c>
      <c r="O9" s="6">
        <f>IF(I9="Ja",L9*N9,0)</f>
        <v/>
      </c>
      <c r="P9" s="8">
        <f>IFERROR(MONTH(A9),"")</f>
        <v/>
      </c>
      <c r="Q9" s="8">
        <f>IFERROR(YEAR(A9),"")</f>
        <v/>
      </c>
      <c r="R9" s="9" t="inlineStr">
        <is>
          <t>Offen</t>
        </is>
      </c>
      <c r="S9" s="4">
        <f>IFERROR(IF(N9=0,"Kein Schlüssel gefunden",""),"Fehler")</f>
        <v/>
      </c>
    </row>
    <row r="10">
      <c r="A10" s="10" t="inlineStr">
        <is>
          <t>15.09.2026</t>
        </is>
      </c>
      <c r="B10" s="10" t="inlineStr">
        <is>
          <t>12.09.2026</t>
        </is>
      </c>
      <c r="C10" s="11" t="inlineStr">
        <is>
          <t>BEL-2026-008</t>
        </is>
      </c>
      <c r="D10" s="11" t="inlineStr">
        <is>
          <t>Claudia Fischer Gartenservice</t>
        </is>
      </c>
      <c r="E10" s="11" t="inlineStr">
        <is>
          <t>Objekt Leipzig</t>
        </is>
      </c>
      <c r="F10" s="11" t="inlineStr">
        <is>
          <t>Birkenallee 14, Leipzig</t>
        </is>
      </c>
      <c r="G10" s="11" t="inlineStr">
        <is>
          <t>Herbstpflege</t>
        </is>
      </c>
      <c r="H10" s="11" t="inlineStr">
        <is>
          <t>Herbstpflege Außenanlage</t>
        </is>
      </c>
      <c r="I10" s="12" t="inlineStr">
        <is>
          <t>Ja</t>
        </is>
      </c>
      <c r="J10" s="13" t="n">
        <v>125</v>
      </c>
      <c r="K10" s="14" t="n">
        <v>0.19</v>
      </c>
      <c r="L10" s="13">
        <f>J10*(1+K10)</f>
        <v/>
      </c>
      <c r="M10" s="11" t="inlineStr">
        <is>
          <t>Wohneinheiten</t>
        </is>
      </c>
      <c r="N10" s="14">
        <f>IFERROR(VLOOKUP(M10,Verteilerschlüssel!$A:$H,8,0),0)</f>
        <v/>
      </c>
      <c r="O10" s="13">
        <f>IF(I10="Ja",L10*N10,0)</f>
        <v/>
      </c>
      <c r="P10" s="15">
        <f>IFERROR(MONTH(A10),"")</f>
        <v/>
      </c>
      <c r="Q10" s="15">
        <f>IFERROR(YEAR(A10),"")</f>
        <v/>
      </c>
      <c r="R10" s="16" t="inlineStr">
        <is>
          <t>Bezahlt</t>
        </is>
      </c>
      <c r="S10" s="11">
        <f>IFERROR(IF(N10=0,"Kein Schlüssel gefunden",""),"Fehler")</f>
        <v/>
      </c>
    </row>
    <row r="11">
      <c r="A11" s="3" t="inlineStr">
        <is>
          <t>02.10.2026</t>
        </is>
      </c>
      <c r="B11" s="3" t="inlineStr">
        <is>
          <t>30.09.2026</t>
        </is>
      </c>
      <c r="C11" s="4" t="inlineStr">
        <is>
          <t>BEL-2026-009</t>
        </is>
      </c>
      <c r="D11" s="4" t="inlineStr">
        <is>
          <t>Markus Bauer Außenanlagen</t>
        </is>
      </c>
      <c r="E11" s="4" t="inlineStr">
        <is>
          <t>Objekt Dresden</t>
        </is>
      </c>
      <c r="F11" s="4" t="inlineStr">
        <is>
          <t>Rosenweg 6, Dresden</t>
        </is>
      </c>
      <c r="G11" s="4" t="inlineStr">
        <is>
          <t>Frühjahrs-/Herbstpflege</t>
        </is>
      </c>
      <c r="H11" s="4" t="inlineStr">
        <is>
          <t>Frühjahrsreinigung Außenanlage</t>
        </is>
      </c>
      <c r="I11" s="5" t="inlineStr">
        <is>
          <t>Ja</t>
        </is>
      </c>
      <c r="J11" s="6" t="n">
        <v>89.5</v>
      </c>
      <c r="K11" s="7" t="n">
        <v>0.07000000000000001</v>
      </c>
      <c r="L11" s="6">
        <f>J11*(1+K11)</f>
        <v/>
      </c>
      <c r="M11" s="4" t="inlineStr">
        <is>
          <t>Personenanzahl</t>
        </is>
      </c>
      <c r="N11" s="7">
        <f>IFERROR(VLOOKUP(M11,Verteilerschlüssel!$A:$H,8,0),0)</f>
        <v/>
      </c>
      <c r="O11" s="6">
        <f>IF(I11="Ja",L11*N11,0)</f>
        <v/>
      </c>
      <c r="P11" s="8">
        <f>IFERROR(MONTH(A11),"")</f>
        <v/>
      </c>
      <c r="Q11" s="8">
        <f>IFERROR(YEAR(A11),"")</f>
        <v/>
      </c>
      <c r="R11" s="9" t="inlineStr">
        <is>
          <t>Bezahlt</t>
        </is>
      </c>
      <c r="S11" s="4">
        <f>IFERROR(IF(N11=0,"Kein Schlüssel gefunden",""),"Fehler")</f>
        <v/>
      </c>
    </row>
    <row r="12">
      <c r="A12" s="10" t="inlineStr">
        <is>
          <t>20.11.2026</t>
        </is>
      </c>
      <c r="B12" s="10" t="inlineStr">
        <is>
          <t>18.11.2026</t>
        </is>
      </c>
      <c r="C12" s="11" t="inlineStr">
        <is>
          <t>BEL-2026-010</t>
        </is>
      </c>
      <c r="D12" s="11" t="inlineStr">
        <is>
          <t>Nicole Schulz Landschaftsbau</t>
        </is>
      </c>
      <c r="E12" s="11" t="inlineStr">
        <is>
          <t>Objekt Hannover</t>
        </is>
      </c>
      <c r="F12" s="11" t="inlineStr">
        <is>
          <t>Gartenstraße 30, Hannover</t>
        </is>
      </c>
      <c r="G12" s="11" t="inlineStr">
        <is>
          <t>Neuanlage</t>
        </is>
      </c>
      <c r="H12" s="11" t="inlineStr">
        <is>
          <t>Neuanlage Beetfläche</t>
        </is>
      </c>
      <c r="I12" s="17" t="inlineStr">
        <is>
          <t>Nein</t>
        </is>
      </c>
      <c r="J12" s="13" t="n">
        <v>450</v>
      </c>
      <c r="K12" s="14" t="n">
        <v>0.19</v>
      </c>
      <c r="L12" s="13">
        <f>J12*(1+K12)</f>
        <v/>
      </c>
      <c r="M12" s="11" t="inlineStr">
        <is>
          <t>Wohnfläche</t>
        </is>
      </c>
      <c r="N12" s="14">
        <f>IFERROR(VLOOKUP(M12,Verteilerschlüssel!$A:$H,8,0),0)</f>
        <v/>
      </c>
      <c r="O12" s="13">
        <f>IF(I12="Ja",L12*N12,0)</f>
        <v/>
      </c>
      <c r="P12" s="15">
        <f>IFERROR(MONTH(A12),"")</f>
        <v/>
      </c>
      <c r="Q12" s="15">
        <f>IFERROR(YEAR(A12),"")</f>
        <v/>
      </c>
      <c r="R12" s="16" t="inlineStr">
        <is>
          <t>Offen</t>
        </is>
      </c>
      <c r="S12" s="11" t="inlineStr">
        <is>
          <t>Keine Umlage: Neuanlage</t>
        </is>
      </c>
    </row>
    <row r="13">
      <c r="I13" s="18" t="inlineStr">
        <is>
          <t>Gesamt:</t>
        </is>
      </c>
      <c r="J13" s="19">
        <f>SUM(J3:J12)</f>
        <v/>
      </c>
      <c r="K13" s="20" t="n"/>
      <c r="L13" s="19">
        <f>SUM(L3:L12)</f>
        <v/>
      </c>
      <c r="M13" s="20" t="n"/>
      <c r="N13" s="20" t="n"/>
      <c r="O13" s="19">
        <f>SUM(O3:O12)</f>
        <v/>
      </c>
      <c r="P13" s="20" t="n"/>
      <c r="Q13" s="20" t="n"/>
      <c r="R13" s="20" t="n"/>
      <c r="S13" s="20" t="n"/>
    </row>
    <row r="14">
      <c r="I14" s="18" t="inlineStr">
        <is>
          <t>Durchschnitt:</t>
        </is>
      </c>
      <c r="J14" s="19">
        <f>AVERAGE(J3:J12)</f>
        <v/>
      </c>
      <c r="K14" s="20" t="n"/>
      <c r="L14" s="19">
        <f>AVERAGE(L3:L12)</f>
        <v/>
      </c>
      <c r="M14" s="20" t="n"/>
      <c r="N14" s="20" t="n"/>
      <c r="O14" s="20" t="n"/>
      <c r="P14" s="20" t="n"/>
      <c r="Q14" s="20" t="n"/>
      <c r="R14" s="20" t="n"/>
      <c r="S14" s="20" t="n"/>
    </row>
    <row r="15">
      <c r="I15" s="18" t="inlineStr">
        <is>
          <t>Umlagefähig (Anzahl):</t>
        </is>
      </c>
      <c r="J15" s="21">
        <f>COUNTIF(I3:I12,"Ja")</f>
        <v/>
      </c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</row>
  </sheetData>
  <autoFilter ref="A2:S12"/>
  <mergeCells count="1">
    <mergeCell ref="A1:S1"/>
  </mergeCells>
  <dataValidations count="3">
    <dataValidation sqref="I3:I12" showErrorMessage="1" showInputMessage="1" allowBlank="0" type="list">
      <formula1>"Ja,Nein"</formula1>
    </dataValidation>
    <dataValidation sqref="R3:R12" showErrorMessage="1" showInputMessage="1" allowBlank="0" type="list">
      <formula1>"Bezahlt,Offen,Storniert"</formula1>
    </dataValidation>
    <dataValidation sqref="M3:M12" showErrorMessage="1" showInputMessage="1" allowBlank="1" type="list">
      <formula1>"Wohnfläche,Wohneinheiten,Personenanzahl"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4"/>
  <sheetViews>
    <sheetView workbookViewId="0">
      <selection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22" customWidth="1" min="7" max="7"/>
    <col width="14" customWidth="1" min="8" max="8"/>
    <col width="14" customWidth="1" min="9" max="9"/>
    <col width="30" customWidth="1" min="10" max="10"/>
  </cols>
  <sheetData>
    <row r="1" ht="28" customHeight="1">
      <c r="A1" s="1" t="inlineStr">
        <is>
          <t>Verteilerschlüssel – Objekte und Umlagequoten 2026</t>
        </is>
      </c>
    </row>
    <row r="2" ht="22" customHeight="1">
      <c r="A2" s="2" t="inlineStr">
        <is>
          <t>Objekt</t>
        </is>
      </c>
      <c r="B2" s="2" t="inlineStr">
        <is>
          <t>Adresse</t>
        </is>
      </c>
      <c r="C2" s="2" t="inlineStr">
        <is>
          <t>Einheit / Nutzung</t>
        </is>
      </c>
      <c r="D2" s="2" t="inlineStr">
        <is>
          <t>Wohnfläche m²</t>
        </is>
      </c>
      <c r="E2" s="2" t="inlineStr">
        <is>
          <t>Personenanzahl</t>
        </is>
      </c>
      <c r="F2" s="2" t="inlineStr">
        <is>
          <t>Gesamteinheiten</t>
        </is>
      </c>
      <c r="G2" s="2" t="inlineStr">
        <is>
          <t>Umlageschlüssel-Typ</t>
        </is>
      </c>
      <c r="H2" s="2" t="inlineStr">
        <is>
          <t>Schlüsselwert</t>
        </is>
      </c>
      <c r="I2" s="2" t="inlineStr">
        <is>
          <t>Gartenanteil %</t>
        </is>
      </c>
      <c r="J2" s="2" t="inlineStr">
        <is>
          <t>Bemerkung</t>
        </is>
      </c>
    </row>
    <row r="3">
      <c r="A3" s="4" t="inlineStr">
        <is>
          <t>Objekt Berlin</t>
        </is>
      </c>
      <c r="B3" s="4" t="inlineStr">
        <is>
          <t>Hauptstraße 12, Berlin</t>
        </is>
      </c>
      <c r="C3" s="4" t="inlineStr">
        <is>
          <t>Wohneinheit EG</t>
        </is>
      </c>
      <c r="D3" s="22" t="n">
        <v>72</v>
      </c>
      <c r="E3" s="9" t="n">
        <v>2</v>
      </c>
      <c r="F3" s="9" t="n">
        <v>4</v>
      </c>
      <c r="G3" s="4" t="inlineStr">
        <is>
          <t>Wohnfläche</t>
        </is>
      </c>
      <c r="H3" s="23">
        <f>IFERROR(D3/SUM($D$3:$D$12),0)</f>
        <v/>
      </c>
      <c r="I3" s="23" t="n">
        <v>0.25</v>
      </c>
      <c r="J3" s="4">
        <f>IF(I3&gt;0,"Gartenanteil berücksichtigt","Standard-Schlüssel")</f>
        <v/>
      </c>
    </row>
    <row r="4">
      <c r="A4" s="11" t="inlineStr">
        <is>
          <t>Objekt München</t>
        </is>
      </c>
      <c r="B4" s="11" t="inlineStr">
        <is>
          <t>Lindenallee 7, München</t>
        </is>
      </c>
      <c r="C4" s="11" t="inlineStr">
        <is>
          <t>Wohneinheit OG1</t>
        </is>
      </c>
      <c r="D4" s="24" t="n">
        <v>85</v>
      </c>
      <c r="E4" s="16" t="n">
        <v>3</v>
      </c>
      <c r="F4" s="16" t="n">
        <v>4</v>
      </c>
      <c r="G4" s="11" t="inlineStr">
        <is>
          <t>Wohnfläche</t>
        </is>
      </c>
      <c r="H4" s="25">
        <f>IFERROR(D4/SUM($D$3:$D$12),0)</f>
        <v/>
      </c>
      <c r="I4" s="25" t="n">
        <v>0.3</v>
      </c>
      <c r="J4" s="11">
        <f>IF(I4&gt;0,"Gartenanteil berücksichtigt","Standard-Schlüssel")</f>
        <v/>
      </c>
    </row>
    <row r="5">
      <c r="A5" s="4" t="inlineStr">
        <is>
          <t>Objekt Hamburg</t>
        </is>
      </c>
      <c r="B5" s="4" t="inlineStr">
        <is>
          <t>Goethestraße 45, Hamburg</t>
        </is>
      </c>
      <c r="C5" s="4" t="inlineStr">
        <is>
          <t>Wohneinheit OG2</t>
        </is>
      </c>
      <c r="D5" s="22" t="n">
        <v>68</v>
      </c>
      <c r="E5" s="9" t="n">
        <v>2</v>
      </c>
      <c r="F5" s="9" t="n">
        <v>4</v>
      </c>
      <c r="G5" s="4" t="inlineStr">
        <is>
          <t>Wohneinheiten</t>
        </is>
      </c>
      <c r="H5" s="23">
        <f>IFERROR(D5/SUM($D$3:$D$12),0)</f>
        <v/>
      </c>
      <c r="I5" s="23" t="n">
        <v>0.25</v>
      </c>
      <c r="J5" s="4">
        <f>IF(I5&gt;0,"Gartenanteil berücksichtigt","Standard-Schlüssel")</f>
        <v/>
      </c>
    </row>
    <row r="6">
      <c r="A6" s="11" t="inlineStr">
        <is>
          <t>Objekt Köln</t>
        </is>
      </c>
      <c r="B6" s="11" t="inlineStr">
        <is>
          <t>Ahornweg 18, Köln</t>
        </is>
      </c>
      <c r="C6" s="11" t="inlineStr">
        <is>
          <t>Wohneinheit EG</t>
        </is>
      </c>
      <c r="D6" s="24" t="n">
        <v>78</v>
      </c>
      <c r="E6" s="16" t="n">
        <v>2</v>
      </c>
      <c r="F6" s="16" t="n">
        <v>3</v>
      </c>
      <c r="G6" s="11" t="inlineStr">
        <is>
          <t>Wohnfläche</t>
        </is>
      </c>
      <c r="H6" s="25">
        <f>IFERROR(D6/SUM($D$3:$D$12),0)</f>
        <v/>
      </c>
      <c r="I6" s="25" t="n">
        <v>0.33</v>
      </c>
      <c r="J6" s="11">
        <f>IF(I6&gt;0,"Gartenanteil berücksichtigt","Standard-Schlüssel")</f>
        <v/>
      </c>
    </row>
    <row r="7">
      <c r="A7" s="4" t="inlineStr">
        <is>
          <t>Objekt Frankfurt</t>
        </is>
      </c>
      <c r="B7" s="4" t="inlineStr">
        <is>
          <t>Parkstraße 22, Frankfurt am Main</t>
        </is>
      </c>
      <c r="C7" s="4" t="inlineStr">
        <is>
          <t>Wohneinheit OG1</t>
        </is>
      </c>
      <c r="D7" s="22" t="n">
        <v>65</v>
      </c>
      <c r="E7" s="9" t="n">
        <v>1</v>
      </c>
      <c r="F7" s="9" t="n">
        <v>3</v>
      </c>
      <c r="G7" s="4" t="inlineStr">
        <is>
          <t>Personenanzahl</t>
        </is>
      </c>
      <c r="H7" s="23">
        <f>IFERROR(D7/SUM($D$3:$D$12),0)</f>
        <v/>
      </c>
      <c r="I7" s="23" t="n">
        <v>0.2</v>
      </c>
      <c r="J7" s="4">
        <f>IF(I7&gt;0,"Gartenanteil berücksichtigt","Standard-Schlüssel")</f>
        <v/>
      </c>
    </row>
    <row r="8">
      <c r="A8" s="11" t="inlineStr">
        <is>
          <t>Objekt Stuttgart</t>
        </is>
      </c>
      <c r="B8" s="11" t="inlineStr">
        <is>
          <t>Blumenstraße 9, Stuttgart</t>
        </is>
      </c>
      <c r="C8" s="11" t="inlineStr">
        <is>
          <t>Wohneinheit DG</t>
        </is>
      </c>
      <c r="D8" s="24" t="n">
        <v>92</v>
      </c>
      <c r="E8" s="16" t="n">
        <v>4</v>
      </c>
      <c r="F8" s="16" t="n">
        <v>3</v>
      </c>
      <c r="G8" s="11" t="inlineStr">
        <is>
          <t>Wohnfläche</t>
        </is>
      </c>
      <c r="H8" s="25">
        <f>IFERROR(D8/SUM($D$3:$D$12),0)</f>
        <v/>
      </c>
      <c r="I8" s="25" t="n">
        <v>0.4</v>
      </c>
      <c r="J8" s="11">
        <f>IF(I8&gt;0,"Gartenanteil berücksichtigt","Standard-Schlüssel")</f>
        <v/>
      </c>
    </row>
    <row r="9">
      <c r="A9" s="4" t="inlineStr">
        <is>
          <t>Objekt Düsseldorf</t>
        </is>
      </c>
      <c r="B9" s="4" t="inlineStr">
        <is>
          <t>Kastanienweg 3, Düsseldorf</t>
        </is>
      </c>
      <c r="C9" s="4" t="inlineStr">
        <is>
          <t>Wohneinheit EG</t>
        </is>
      </c>
      <c r="D9" s="22" t="n">
        <v>80</v>
      </c>
      <c r="E9" s="9" t="n">
        <v>3</v>
      </c>
      <c r="F9" s="9" t="n">
        <v>4</v>
      </c>
      <c r="G9" s="4" t="inlineStr">
        <is>
          <t>Wohnfläche</t>
        </is>
      </c>
      <c r="H9" s="23">
        <f>IFERROR(D9/SUM($D$3:$D$12),0)</f>
        <v/>
      </c>
      <c r="I9" s="23" t="n">
        <v>0.25</v>
      </c>
      <c r="J9" s="4">
        <f>IF(I9&gt;0,"Gartenanteil berücksichtigt","Standard-Schlüssel")</f>
        <v/>
      </c>
    </row>
    <row r="10">
      <c r="A10" s="11" t="inlineStr">
        <is>
          <t>Objekt Leipzig</t>
        </is>
      </c>
      <c r="B10" s="11" t="inlineStr">
        <is>
          <t>Birkenallee 14, Leipzig</t>
        </is>
      </c>
      <c r="C10" s="11" t="inlineStr">
        <is>
          <t>Wohneinheit OG1</t>
        </is>
      </c>
      <c r="D10" s="24" t="n">
        <v>70</v>
      </c>
      <c r="E10" s="16" t="n">
        <v>2</v>
      </c>
      <c r="F10" s="16" t="n">
        <v>4</v>
      </c>
      <c r="G10" s="11" t="inlineStr">
        <is>
          <t>Wohneinheiten</t>
        </is>
      </c>
      <c r="H10" s="25">
        <f>IFERROR(D10/SUM($D$3:$D$12),0)</f>
        <v/>
      </c>
      <c r="I10" s="25" t="n">
        <v>0.25</v>
      </c>
      <c r="J10" s="11">
        <f>IF(I10&gt;0,"Gartenanteil berücksichtigt","Standard-Schlüssel")</f>
        <v/>
      </c>
    </row>
    <row r="11">
      <c r="A11" s="4" t="inlineStr">
        <is>
          <t>Objekt Dresden</t>
        </is>
      </c>
      <c r="B11" s="4" t="inlineStr">
        <is>
          <t>Rosenweg 6, Dresden</t>
        </is>
      </c>
      <c r="C11" s="4" t="inlineStr">
        <is>
          <t>Wohneinheit OG2</t>
        </is>
      </c>
      <c r="D11" s="22" t="n">
        <v>62</v>
      </c>
      <c r="E11" s="9" t="n">
        <v>2</v>
      </c>
      <c r="F11" s="9" t="n">
        <v>3</v>
      </c>
      <c r="G11" s="4" t="inlineStr">
        <is>
          <t>Personenanzahl</t>
        </is>
      </c>
      <c r="H11" s="23">
        <f>IFERROR(D11/SUM($D$3:$D$12),0)</f>
        <v/>
      </c>
      <c r="I11" s="23" t="n">
        <v>0.15</v>
      </c>
      <c r="J11" s="4">
        <f>IF(I11&gt;0,"Gartenanteil berücksichtigt","Standard-Schlüssel")</f>
        <v/>
      </c>
    </row>
    <row r="12">
      <c r="A12" s="11" t="inlineStr">
        <is>
          <t>Objekt Hannover</t>
        </is>
      </c>
      <c r="B12" s="11" t="inlineStr">
        <is>
          <t>Gartenstraße 30, Hannover</t>
        </is>
      </c>
      <c r="C12" s="11" t="inlineStr">
        <is>
          <t>Wohneinheit EG</t>
        </is>
      </c>
      <c r="D12" s="24" t="n">
        <v>88</v>
      </c>
      <c r="E12" s="16" t="n">
        <v>3</v>
      </c>
      <c r="F12" s="16" t="n">
        <v>3</v>
      </c>
      <c r="G12" s="11" t="inlineStr">
        <is>
          <t>Wohnfläche</t>
        </is>
      </c>
      <c r="H12" s="25">
        <f>IFERROR(D12/SUM($D$3:$D$12),0)</f>
        <v/>
      </c>
      <c r="I12" s="25" t="n">
        <v>0.35</v>
      </c>
      <c r="J12" s="11">
        <f>IF(I12&gt;0,"Gartenanteil berücksichtigt","Standard-Schlüssel")</f>
        <v/>
      </c>
    </row>
    <row r="13">
      <c r="A13" s="20" t="n"/>
      <c r="B13" s="20" t="n"/>
      <c r="C13" s="18" t="inlineStr">
        <is>
          <t>SUMME / PRÜFUNG:</t>
        </is>
      </c>
      <c r="D13" s="26">
        <f>SUM(D3:D12)</f>
        <v/>
      </c>
      <c r="E13" s="20" t="n"/>
      <c r="F13" s="20" t="n"/>
      <c r="G13" s="20" t="n"/>
      <c r="H13" s="27">
        <f>SUM(H3:H12)</f>
        <v/>
      </c>
      <c r="I13" s="27">
        <f>SUM(I3:I12)</f>
        <v/>
      </c>
      <c r="J13" s="20" t="n"/>
    </row>
    <row r="14">
      <c r="A14" s="20" t="n"/>
      <c r="B14" s="20" t="n"/>
      <c r="C14" s="18" t="inlineStr">
        <is>
          <t>Prüfung Schlüsselwert (Soll 100%):</t>
        </is>
      </c>
      <c r="D14" s="20" t="n"/>
      <c r="E14" s="20" t="n"/>
      <c r="F14" s="20" t="n"/>
      <c r="G14" s="20" t="n"/>
      <c r="H14" s="28">
        <f>IF(ABS(H13-1)&lt;0.001,"✓ OK","⚠ Abweichung!")</f>
        <v/>
      </c>
      <c r="I14" s="20" t="n"/>
      <c r="J14" s="20" t="n"/>
    </row>
  </sheetData>
  <autoFilter ref="A2:J12"/>
  <mergeCells count="1">
    <mergeCell ref="A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31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 ht="28" customHeight="1">
      <c r="A1" s="1" t="inlineStr">
        <is>
          <t>Auswertung &amp; Dashboard – Gartenpflege 2026</t>
        </is>
      </c>
    </row>
    <row r="2">
      <c r="A2" s="29" t="inlineStr">
        <is>
          <t>Kennzahlen Übersicht</t>
        </is>
      </c>
    </row>
    <row r="3">
      <c r="A3" s="30" t="inlineStr">
        <is>
          <t>Gesamtkosten Gartenpflege (Brutto)</t>
        </is>
      </c>
      <c r="B3" s="31">
        <f>IFERROR(SUM(Kostenübersicht!L3:L12),0)</f>
        <v/>
      </c>
    </row>
    <row r="4">
      <c r="A4" s="32" t="inlineStr">
        <is>
          <t>Umlagefähige Kosten (Brutto)</t>
        </is>
      </c>
      <c r="B4" s="31">
        <f>IFERROR(SUMIF(Kostenübersicht!I3:I12,"Ja",Kostenübersicht!L3:L12),0)</f>
        <v/>
      </c>
    </row>
    <row r="5">
      <c r="A5" s="30" t="inlineStr">
        <is>
          <t>Nicht umlagefähige Kosten (Brutto)</t>
        </is>
      </c>
      <c r="B5" s="31">
        <f>IFERROR(SUMIF(Kostenübersicht!I3:I12,"Nein",Kostenübersicht!L3:L12),0)</f>
        <v/>
      </c>
    </row>
    <row r="6">
      <c r="A6" s="32" t="inlineStr">
        <is>
          <t>Umlagequote %</t>
        </is>
      </c>
      <c r="B6" s="33">
        <f>IFERROR(B4/B3,0)</f>
        <v/>
      </c>
    </row>
    <row r="7">
      <c r="A7" s="30" t="inlineStr">
        <is>
          <t>Ø Kosten pro Monat (Brutto)</t>
        </is>
      </c>
      <c r="B7" s="31">
        <f>IFERROR(B3/12,0)</f>
        <v/>
      </c>
    </row>
    <row r="8">
      <c r="A8" s="32" t="inlineStr">
        <is>
          <t>Anzahl umlagefähiger Posten</t>
        </is>
      </c>
      <c r="B8" s="34">
        <f>IFERROR(COUNTIF(Kostenübersicht!I3:I12,"Ja"),0)</f>
        <v/>
      </c>
    </row>
    <row r="9">
      <c r="A9" s="30" t="inlineStr">
        <is>
          <t>Anzahl offener Posten</t>
        </is>
      </c>
      <c r="B9" s="34">
        <f>IFERROR(COUNTIF(Kostenübersicht!R3:R12,"Offen"),0)</f>
        <v/>
      </c>
    </row>
    <row r="10">
      <c r="A10" s="32" t="inlineStr">
        <is>
          <t>Größter Einzelposten (Brutto)</t>
        </is>
      </c>
      <c r="B10" s="31">
        <f>IFERROR(MAX(Kostenübersicht!L3:L12),0)</f>
        <v/>
      </c>
    </row>
    <row r="11">
      <c r="A11" s="30" t="inlineStr">
        <is>
          <t>Gesamte Umlagebetrag</t>
        </is>
      </c>
      <c r="B11" s="31">
        <f>IFERROR(SUM(Kostenübersicht!O3:O12),0)</f>
        <v/>
      </c>
    </row>
    <row r="12"/>
    <row r="13">
      <c r="A13" s="29" t="inlineStr">
        <is>
          <t>Kosten nach Monat (Übersicht)</t>
        </is>
      </c>
    </row>
    <row r="14">
      <c r="A14" s="35" t="inlineStr">
        <is>
          <t>Monat</t>
        </is>
      </c>
      <c r="B14" s="36" t="inlineStr">
        <is>
          <t>Bruttobetrag</t>
        </is>
      </c>
      <c r="C14" s="36" t="inlineStr">
        <is>
          <t>Umlagebetrag</t>
        </is>
      </c>
    </row>
    <row r="15">
      <c r="A15" s="37" t="inlineStr">
        <is>
          <t>Jan</t>
        </is>
      </c>
      <c r="B15" s="38">
        <f>IFERROR(SUMIF(Kostenübersicht!P3:P12,1,Kostenübersicht!L3:L12),0)</f>
        <v/>
      </c>
      <c r="C15" s="38">
        <f>IFERROR(SUMIF(Kostenübersicht!P3:P12,1,Kostenübersicht!O3:O12),0)</f>
        <v/>
      </c>
    </row>
    <row r="16">
      <c r="A16" s="39" t="inlineStr">
        <is>
          <t>Feb</t>
        </is>
      </c>
      <c r="B16" s="40">
        <f>IFERROR(SUMIF(Kostenübersicht!P3:P12,2,Kostenübersicht!L3:L12),0)</f>
        <v/>
      </c>
      <c r="C16" s="40">
        <f>IFERROR(SUMIF(Kostenübersicht!P3:P12,2,Kostenübersicht!O3:O12),0)</f>
        <v/>
      </c>
    </row>
    <row r="17">
      <c r="A17" s="37" t="inlineStr">
        <is>
          <t>Mär</t>
        </is>
      </c>
      <c r="B17" s="38">
        <f>IFERROR(SUMIF(Kostenübersicht!P3:P12,3,Kostenübersicht!L3:L12),0)</f>
        <v/>
      </c>
      <c r="C17" s="38">
        <f>IFERROR(SUMIF(Kostenübersicht!P3:P12,3,Kostenübersicht!O3:O12),0)</f>
        <v/>
      </c>
    </row>
    <row r="18">
      <c r="A18" s="39" t="inlineStr">
        <is>
          <t>Apr</t>
        </is>
      </c>
      <c r="B18" s="40">
        <f>IFERROR(SUMIF(Kostenübersicht!P3:P12,4,Kostenübersicht!L3:L12),0)</f>
        <v/>
      </c>
      <c r="C18" s="40">
        <f>IFERROR(SUMIF(Kostenübersicht!P3:P12,4,Kostenübersicht!O3:O12),0)</f>
        <v/>
      </c>
    </row>
    <row r="19">
      <c r="A19" s="37" t="inlineStr">
        <is>
          <t>Mai</t>
        </is>
      </c>
      <c r="B19" s="38">
        <f>IFERROR(SUMIF(Kostenübersicht!P3:P12,5,Kostenübersicht!L3:L12),0)</f>
        <v/>
      </c>
      <c r="C19" s="38">
        <f>IFERROR(SUMIF(Kostenübersicht!P3:P12,5,Kostenübersicht!O3:O12),0)</f>
        <v/>
      </c>
    </row>
    <row r="20">
      <c r="A20" s="39" t="inlineStr">
        <is>
          <t>Jun</t>
        </is>
      </c>
      <c r="B20" s="40">
        <f>IFERROR(SUMIF(Kostenübersicht!P3:P12,6,Kostenübersicht!L3:L12),0)</f>
        <v/>
      </c>
      <c r="C20" s="40">
        <f>IFERROR(SUMIF(Kostenübersicht!P3:P12,6,Kostenübersicht!O3:O12),0)</f>
        <v/>
      </c>
    </row>
    <row r="21">
      <c r="A21" s="37" t="inlineStr">
        <is>
          <t>Jul</t>
        </is>
      </c>
      <c r="B21" s="38">
        <f>IFERROR(SUMIF(Kostenübersicht!P3:P12,7,Kostenübersicht!L3:L12),0)</f>
        <v/>
      </c>
      <c r="C21" s="38">
        <f>IFERROR(SUMIF(Kostenübersicht!P3:P12,7,Kostenübersicht!O3:O12),0)</f>
        <v/>
      </c>
    </row>
    <row r="22">
      <c r="A22" s="39" t="inlineStr">
        <is>
          <t>Aug</t>
        </is>
      </c>
      <c r="B22" s="40">
        <f>IFERROR(SUMIF(Kostenübersicht!P3:P12,8,Kostenübersicht!L3:L12),0)</f>
        <v/>
      </c>
      <c r="C22" s="40">
        <f>IFERROR(SUMIF(Kostenübersicht!P3:P12,8,Kostenübersicht!O3:O12),0)</f>
        <v/>
      </c>
    </row>
    <row r="23">
      <c r="A23" s="37" t="inlineStr">
        <is>
          <t>Sep</t>
        </is>
      </c>
      <c r="B23" s="38">
        <f>IFERROR(SUMIF(Kostenübersicht!P3:P12,9,Kostenübersicht!L3:L12),0)</f>
        <v/>
      </c>
      <c r="C23" s="38">
        <f>IFERROR(SUMIF(Kostenübersicht!P3:P12,9,Kostenübersicht!O3:O12),0)</f>
        <v/>
      </c>
    </row>
    <row r="24">
      <c r="A24" s="39" t="inlineStr">
        <is>
          <t>Okt</t>
        </is>
      </c>
      <c r="B24" s="40">
        <f>IFERROR(SUMIF(Kostenübersicht!P3:P12,10,Kostenübersicht!L3:L12),0)</f>
        <v/>
      </c>
      <c r="C24" s="40">
        <f>IFERROR(SUMIF(Kostenübersicht!P3:P12,10,Kostenübersicht!O3:O12),0)</f>
        <v/>
      </c>
    </row>
    <row r="25">
      <c r="A25" s="37" t="inlineStr">
        <is>
          <t>Nov</t>
        </is>
      </c>
      <c r="B25" s="38">
        <f>IFERROR(SUMIF(Kostenübersicht!P3:P12,11,Kostenübersicht!L3:L12),0)</f>
        <v/>
      </c>
      <c r="C25" s="38">
        <f>IFERROR(SUMIF(Kostenübersicht!P3:P12,11,Kostenübersicht!O3:O12),0)</f>
        <v/>
      </c>
    </row>
    <row r="26">
      <c r="A26" s="39" t="inlineStr">
        <is>
          <t>Dez</t>
        </is>
      </c>
      <c r="B26" s="40">
        <f>IFERROR(SUMIF(Kostenübersicht!P3:P12,12,Kostenübersicht!L3:L12),0)</f>
        <v/>
      </c>
      <c r="C26" s="40">
        <f>IFERROR(SUMIF(Kostenübersicht!P3:P12,12,Kostenübersicht!O3:O12),0)</f>
        <v/>
      </c>
    </row>
    <row r="27"/>
    <row r="28">
      <c r="A28" s="29" t="inlineStr">
        <is>
          <t>Umlagefähig vs. Nicht umlagefähig</t>
        </is>
      </c>
    </row>
    <row r="29">
      <c r="A29" s="35" t="inlineStr">
        <is>
          <t>Kategorie</t>
        </is>
      </c>
      <c r="B29" s="35" t="inlineStr">
        <is>
          <t>Betrag</t>
        </is>
      </c>
    </row>
    <row r="30">
      <c r="A30" s="37" t="inlineStr">
        <is>
          <t>Umlagefähig</t>
        </is>
      </c>
      <c r="B30" s="41">
        <f>IFERROR(SUMIF(Kostenübersicht!I3:I12,"Ja",Kostenübersicht!L3:L12),0)</f>
        <v/>
      </c>
    </row>
    <row r="31">
      <c r="A31" s="39" t="inlineStr">
        <is>
          <t>Nicht umlagefähig</t>
        </is>
      </c>
      <c r="B31" s="42">
        <f>IFERROR(SUMIF(Kostenübersicht!I3:I12,"Nein",Kostenübersicht!L3:L12),0)</f>
        <v/>
      </c>
    </row>
  </sheetData>
  <mergeCells count="4">
    <mergeCell ref="A1:L1"/>
    <mergeCell ref="A2:D2"/>
    <mergeCell ref="A13:D13"/>
    <mergeCell ref="A28:D28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55" customWidth="1" min="3" max="3"/>
    <col width="20" customWidth="1" min="4" max="4"/>
    <col width="20" customWidth="1" min="5" max="5"/>
    <col width="20" customWidth="1" min="6" max="6"/>
  </cols>
  <sheetData>
    <row r="1" ht="28" customHeight="1">
      <c r="A1" s="1" t="inlineStr">
        <is>
          <t>Hinweise &amp; Anleitung – Gartenpflege-Kosten Umlage</t>
        </is>
      </c>
    </row>
    <row r="2" ht="20" customHeight="1">
      <c r="B2" s="43" t="inlineStr">
        <is>
          <t>ALLGEMEINE HINWEISE</t>
        </is>
      </c>
      <c r="C2" s="56" t="n"/>
      <c r="D2" s="56" t="n"/>
      <c r="E2" s="56" t="n"/>
      <c r="F2" s="57" t="n"/>
    </row>
    <row r="3" ht="32" customHeight="1">
      <c r="B3" s="30" t="inlineStr">
        <is>
          <t>Zweck der Vorlage</t>
        </is>
      </c>
      <c r="C3" s="44" t="inlineStr">
        <is>
          <t>Diese Vorlage dient der systematischen Erfassung, Prüfung und Umlage von Gartenpflegekosten auf Mietobjekte bzw. WEG-Einheiten gemäß Betriebskostenverordnung (BetrKV).</t>
        </is>
      </c>
      <c r="D3" s="56" t="n"/>
      <c r="E3" s="56" t="n"/>
      <c r="F3" s="57" t="n"/>
    </row>
    <row r="4" ht="32" customHeight="1">
      <c r="B4" s="32" t="inlineStr">
        <is>
          <t>Rechtliche Grundlage</t>
        </is>
      </c>
      <c r="C4" s="45" t="inlineStr">
        <is>
          <t>Gartenpflege-Betriebskosten sind nach § 2 Nr. 10 BetrKV umlagefähig, sofern sie laufende Pflege betreffen. Neuanlage und grundlegende Umgestaltung sind NICHT umlagefähig.</t>
        </is>
      </c>
      <c r="D4" s="56" t="n"/>
      <c r="E4" s="56" t="n"/>
      <c r="F4" s="57" t="n"/>
    </row>
    <row r="5" ht="32" customHeight="1">
      <c r="B5" s="30" t="inlineStr">
        <is>
          <t>Belegführung</t>
        </is>
      </c>
      <c r="C5" s="44" t="inlineStr">
        <is>
          <t>Bewahren Sie alle Originalbelege sorgfältig auf. Jeder Posten in der Kostenübersicht muss einer Belegnummer zugeordnet sein. Nur belegbare Kosten können auf Mieter umgelegt werden.</t>
        </is>
      </c>
      <c r="D5" s="56" t="n"/>
      <c r="E5" s="56" t="n"/>
      <c r="F5" s="57" t="n"/>
    </row>
    <row r="6" ht="20" customHeight="1">
      <c r="B6" s="43" t="inlineStr">
        <is>
          <t>UMLAGEFÄHIGE KOSTEN (gemäß BetrKV § 2 Nr. 10)</t>
        </is>
      </c>
      <c r="C6" s="56" t="n"/>
      <c r="D6" s="56" t="n"/>
      <c r="E6" s="56" t="n"/>
      <c r="F6" s="57" t="n"/>
    </row>
    <row r="7" ht="32" customHeight="1">
      <c r="B7" s="30" t="inlineStr">
        <is>
          <t>Rasenmähen</t>
        </is>
      </c>
      <c r="C7" s="44" t="inlineStr">
        <is>
          <t>Regelmäßiges Mähen des Rasens ist umlagefähig.</t>
        </is>
      </c>
      <c r="D7" s="56" t="n"/>
      <c r="E7" s="56" t="n"/>
      <c r="F7" s="57" t="n"/>
    </row>
    <row r="8" ht="32" customHeight="1">
      <c r="B8" s="32" t="inlineStr">
        <is>
          <t>Heckenschnitt</t>
        </is>
      </c>
      <c r="C8" s="45" t="inlineStr">
        <is>
          <t>Laufender Schnitt von Hecken und Sträuchern ist umlagefähig.</t>
        </is>
      </c>
      <c r="D8" s="56" t="n"/>
      <c r="E8" s="56" t="n"/>
      <c r="F8" s="57" t="n"/>
    </row>
    <row r="9" ht="32" customHeight="1">
      <c r="B9" s="30" t="inlineStr">
        <is>
          <t>Laubentfernung</t>
        </is>
      </c>
      <c r="C9" s="44" t="inlineStr">
        <is>
          <t>Saisonale Laubentfernung und Reinigung ist umlagefähig.</t>
        </is>
      </c>
      <c r="D9" s="56" t="n"/>
      <c r="E9" s="56" t="n"/>
      <c r="F9" s="57" t="n"/>
    </row>
    <row r="10" ht="32" customHeight="1">
      <c r="B10" s="32" t="inlineStr">
        <is>
          <t>Bewässerung</t>
        </is>
      </c>
      <c r="C10" s="45" t="inlineStr">
        <is>
          <t>Betrieb von Bewässerungsanlagen während der Saison ist umlagefähig.</t>
        </is>
      </c>
      <c r="D10" s="56" t="n"/>
      <c r="E10" s="56" t="n"/>
      <c r="F10" s="57" t="n"/>
    </row>
    <row r="11" ht="32" customHeight="1">
      <c r="B11" s="30" t="inlineStr">
        <is>
          <t>Entsorgung Grünabfall</t>
        </is>
      </c>
      <c r="C11" s="44" t="inlineStr">
        <is>
          <t>Abtransport und Entsorgung von Grünschnitt und Laub ist umlagefähig.</t>
        </is>
      </c>
      <c r="D11" s="56" t="n"/>
      <c r="E11" s="56" t="n"/>
      <c r="F11" s="57" t="n"/>
    </row>
    <row r="12" ht="32" customHeight="1">
      <c r="B12" s="32" t="inlineStr">
        <is>
          <t>Herbst- und Frühjahrsreinigung</t>
        </is>
      </c>
      <c r="C12" s="45" t="inlineStr">
        <is>
          <t>Saisonale Pflegeleistungen für Außenanlagen sind umlagefähig.</t>
        </is>
      </c>
      <c r="D12" s="56" t="n"/>
      <c r="E12" s="56" t="n"/>
      <c r="F12" s="57" t="n"/>
    </row>
    <row r="13" ht="20" customHeight="1">
      <c r="B13" s="43" t="inlineStr">
        <is>
          <t>NICHT UMLAGEFÄHIGE KOSTEN</t>
        </is>
      </c>
      <c r="C13" s="56" t="n"/>
      <c r="D13" s="56" t="n"/>
      <c r="E13" s="56" t="n"/>
      <c r="F13" s="57" t="n"/>
    </row>
    <row r="14" ht="32" customHeight="1">
      <c r="B14" s="30" t="inlineStr">
        <is>
          <t>Neuanlage</t>
        </is>
      </c>
      <c r="C14" s="46" t="inlineStr">
        <is>
          <t>Erstanlage von Gartenflächen, Wegen oder Beeten ist NICHT umlagefähig (Investitionskosten).</t>
        </is>
      </c>
      <c r="D14" s="56" t="n"/>
      <c r="E14" s="56" t="n"/>
      <c r="F14" s="57" t="n"/>
    </row>
    <row r="15" ht="32" customHeight="1">
      <c r="B15" s="32" t="inlineStr">
        <is>
          <t>Grundlegende Umgestaltung</t>
        </is>
      </c>
      <c r="C15" s="47" t="inlineStr">
        <is>
          <t>Wesentliche Veränderungen der Gartenanlage sind NICHT umlagefähig.</t>
        </is>
      </c>
      <c r="D15" s="56" t="n"/>
      <c r="E15" s="56" t="n"/>
      <c r="F15" s="57" t="n"/>
    </row>
    <row r="16" ht="32" customHeight="1">
      <c r="B16" s="30" t="inlineStr">
        <is>
          <t>Ersatzpflanzen (Neuanlage)</t>
        </is>
      </c>
      <c r="C16" s="46" t="inlineStr">
        <is>
          <t>Neubepflanzung (nicht Ersatz gleichwertiger Pflanzen) ist in der Regel NICHT umlagefähig.</t>
        </is>
      </c>
      <c r="D16" s="56" t="n"/>
      <c r="E16" s="56" t="n"/>
      <c r="F16" s="57" t="n"/>
    </row>
    <row r="17" ht="20" customHeight="1">
      <c r="B17" s="43" t="inlineStr">
        <is>
          <t>TABELLENBLÄTTER – ERLÄUTERUNG</t>
        </is>
      </c>
      <c r="C17" s="56" t="n"/>
      <c r="D17" s="56" t="n"/>
      <c r="E17" s="56" t="n"/>
      <c r="F17" s="57" t="n"/>
    </row>
    <row r="18" ht="32" customHeight="1">
      <c r="B18" s="30" t="inlineStr">
        <is>
          <t>Kostenübersicht</t>
        </is>
      </c>
      <c r="C18" s="44" t="inlineStr">
        <is>
          <t>Haupterfassungsblatt aller Belege. Buchungsdatum, Leistungsdatum, Anbieter, Objekt, Kostenart, Beträge und Umlagefähigkeit werden hier eingetragen. Gelbe Zellen sind Eingabefelder.</t>
        </is>
      </c>
      <c r="D18" s="56" t="n"/>
      <c r="E18" s="56" t="n"/>
      <c r="F18" s="57" t="n"/>
    </row>
    <row r="19" ht="32" customHeight="1">
      <c r="B19" s="32" t="inlineStr">
        <is>
          <t>Verteilerschlüssel</t>
        </is>
      </c>
      <c r="C19" s="45" t="inlineStr">
        <is>
          <t>Hinterlegen Sie hier alle Objekte/Einheiten mit Wohnfläche, Personenanzahl und Umlageschlüssel-Typ. Der Schlüsselwert wird automatisch berechnet (Wohnfläche-Anteil).</t>
        </is>
      </c>
      <c r="D19" s="56" t="n"/>
      <c r="E19" s="56" t="n"/>
      <c r="F19" s="57" t="n"/>
    </row>
    <row r="20" ht="32" customHeight="1">
      <c r="B20" s="30" t="inlineStr">
        <is>
          <t>Auswertung &amp; Dashboard</t>
        </is>
      </c>
      <c r="C20" s="44" t="inlineStr">
        <is>
          <t>Automatische Kennzahlenauswertung und Diagramme für Vermieter und Hausverwalter. Keine manuellen Eingaben erforderlich – alle Werte werden aus der Kostenübersicht bezogen.</t>
        </is>
      </c>
      <c r="D20" s="56" t="n"/>
      <c r="E20" s="56" t="n"/>
      <c r="F20" s="57" t="n"/>
    </row>
    <row r="21" ht="20" customHeight="1">
      <c r="B21" s="43" t="inlineStr">
        <is>
          <t>FARBLOGIK DER VORLAGE</t>
        </is>
      </c>
      <c r="C21" s="56" t="n"/>
      <c r="D21" s="56" t="n"/>
      <c r="E21" s="56" t="n"/>
      <c r="F21" s="57" t="n"/>
    </row>
    <row r="22" ht="32" customHeight="1">
      <c r="B22" s="48" t="inlineStr">
        <is>
          <t>Eingabezellen (gelb #FFFBEB)</t>
        </is>
      </c>
      <c r="C22" s="49" t="inlineStr">
        <is>
          <t>Felder, die manuell befüllt werden sollen, sind gelb hinterlegt.</t>
        </is>
      </c>
      <c r="D22" s="56" t="n"/>
      <c r="E22" s="56" t="n"/>
      <c r="F22" s="57" t="n"/>
    </row>
    <row r="23" ht="32" customHeight="1">
      <c r="B23" s="50" t="inlineStr">
        <is>
          <t>Header (#0F766E dunkelgrün)</t>
        </is>
      </c>
      <c r="C23" s="51" t="inlineStr">
        <is>
          <t>Spaltenüberschriften und Sektionsköpfe sind dunkelgrün mit weißer Schrift.</t>
        </is>
      </c>
      <c r="D23" s="56" t="n"/>
      <c r="E23" s="56" t="n"/>
      <c r="F23" s="57" t="n"/>
    </row>
    <row r="24" ht="32" customHeight="1">
      <c r="B24" s="30" t="inlineStr">
        <is>
          <t>Umlagefähig = Ja (grün)</t>
        </is>
      </c>
      <c r="C24" s="52" t="inlineStr">
        <is>
          <t>Umlagefähige Posten werden grün dargestellt.</t>
        </is>
      </c>
      <c r="D24" s="56" t="n"/>
      <c r="E24" s="56" t="n"/>
      <c r="F24" s="57" t="n"/>
    </row>
    <row r="25" ht="32" customHeight="1">
      <c r="B25" s="32" t="inlineStr">
        <is>
          <t>Umlagefähig = Nein (rot)</t>
        </is>
      </c>
      <c r="C25" s="47" t="inlineStr">
        <is>
          <t>Nicht umlagefähige Posten werden rot dargestellt.</t>
        </is>
      </c>
      <c r="D25" s="56" t="n"/>
      <c r="E25" s="56" t="n"/>
      <c r="F25" s="57" t="n"/>
    </row>
    <row r="26" ht="20" customHeight="1">
      <c r="B26" s="43" t="inlineStr">
        <is>
          <t>VERTEILERSCHLÜSSEL-TYPEN</t>
        </is>
      </c>
      <c r="C26" s="56" t="n"/>
      <c r="D26" s="56" t="n"/>
      <c r="E26" s="56" t="n"/>
      <c r="F26" s="57" t="n"/>
    </row>
    <row r="27" ht="32" customHeight="1">
      <c r="B27" s="30" t="inlineStr">
        <is>
          <t>Wohnfläche</t>
        </is>
      </c>
      <c r="C27" s="44" t="inlineStr">
        <is>
          <t>Umlage proportional zur Wohnfläche (m²) der Einheit. Standard-Schlüssel nach BetrKV.</t>
        </is>
      </c>
      <c r="D27" s="56" t="n"/>
      <c r="E27" s="56" t="n"/>
      <c r="F27" s="57" t="n"/>
    </row>
    <row r="28" ht="32" customHeight="1">
      <c r="B28" s="32" t="inlineStr">
        <is>
          <t>Wohneinheiten</t>
        </is>
      </c>
      <c r="C28" s="45" t="inlineStr">
        <is>
          <t>Gleichmäßige Verteilung auf alle Wohneinheiten (Kopfprinzip je Wohnung).</t>
        </is>
      </c>
      <c r="D28" s="56" t="n"/>
      <c r="E28" s="56" t="n"/>
      <c r="F28" s="57" t="n"/>
    </row>
    <row r="29" ht="32" customHeight="1">
      <c r="B29" s="30" t="inlineStr">
        <is>
          <t>Personenanzahl</t>
        </is>
      </c>
      <c r="C29" s="44" t="inlineStr">
        <is>
          <t>Umlage nach Anzahl der im Haushalt gemeldeten Personen. Nur zulässig bei entsprechender Mietvertragsklausel.</t>
        </is>
      </c>
      <c r="D29" s="56" t="n"/>
      <c r="E29" s="56" t="n"/>
      <c r="F29" s="57" t="n"/>
    </row>
    <row r="30" ht="20" customHeight="1">
      <c r="B30" s="53" t="inlineStr">
        <is>
          <t>WICHTIGER HINWEIS</t>
        </is>
      </c>
      <c r="C30" s="56" t="n"/>
      <c r="D30" s="56" t="n"/>
      <c r="E30" s="56" t="n"/>
      <c r="F30" s="57" t="n"/>
    </row>
    <row r="31" ht="32" customHeight="1">
      <c r="B31" s="54" t="inlineStr">
        <is>
          <t>Haftungsausschluss</t>
        </is>
      </c>
      <c r="C31" s="55" t="inlineStr">
        <is>
          <t>Diese Vorlage dient als Arbeitshilfe und ersetzt keine Rechtsberatung. Für verbindliche Auskünfte zur Betriebskostenumlage wenden Sie sich bitte an einen Fachanwalt für Mietrecht oder Ihren Hausverwalter.</t>
        </is>
      </c>
      <c r="D31" s="56" t="n"/>
      <c r="E31" s="56" t="n"/>
      <c r="F31" s="57" t="n"/>
    </row>
  </sheetData>
  <mergeCells count="31">
    <mergeCell ref="A1:F1"/>
    <mergeCell ref="B2:F2"/>
    <mergeCell ref="C3:F3"/>
    <mergeCell ref="C4:F4"/>
    <mergeCell ref="C5:F5"/>
    <mergeCell ref="B6:F6"/>
    <mergeCell ref="C7:F7"/>
    <mergeCell ref="C8:F8"/>
    <mergeCell ref="C9:F9"/>
    <mergeCell ref="C10:F10"/>
    <mergeCell ref="C11:F11"/>
    <mergeCell ref="C12:F12"/>
    <mergeCell ref="B13:F13"/>
    <mergeCell ref="C14:F14"/>
    <mergeCell ref="C15:F15"/>
    <mergeCell ref="C16:F16"/>
    <mergeCell ref="B17:F17"/>
    <mergeCell ref="C18:F18"/>
    <mergeCell ref="C19:F19"/>
    <mergeCell ref="C20:F20"/>
    <mergeCell ref="B21:F21"/>
    <mergeCell ref="C22:F22"/>
    <mergeCell ref="C23:F23"/>
    <mergeCell ref="C24:F24"/>
    <mergeCell ref="C25:F25"/>
    <mergeCell ref="B26:F26"/>
    <mergeCell ref="C27:F27"/>
    <mergeCell ref="C28:F28"/>
    <mergeCell ref="C29:F29"/>
    <mergeCell ref="B30:F30"/>
    <mergeCell ref="C31:F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2026-06-19T12:37:19Z</dcterms:created>
  <dcterms:modified xmlns:dcterms="http://purl.org/dc/terms/" xmlns:xsi="http://www.w3.org/2001/XMLSchema-instance" xsi:type="dcterms:W3CDTF">2026-06-19T12:37:19Z</dcterms:modified>
</cp:coreProperties>
</file>