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brechnung 2026" sheetId="1" state="visible" r:id="rId1"/>
    <sheet xmlns:r="http://schemas.openxmlformats.org/officeDocument/2006/relationships" name="Objekte &amp; Mieter" sheetId="2" state="visible" r:id="rId2"/>
    <sheet xmlns:r="http://schemas.openxmlformats.org/officeDocument/2006/relationships" name="Übersich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\ &quot;\u20ac&quot;"/>
    <numFmt numFmtId="165" formatCode="DD.MM.YYYY"/>
  </numFmts>
  <fonts count="8">
    <font>
      <name val="Calibri"/>
      <family val="2"/>
      <color theme="1"/>
      <sz val="11"/>
      <scheme val="minor"/>
    </font>
    <font>
      <name val="Calibri"/>
      <b val="1"/>
      <color rgb="001E293B"/>
      <sz val="13"/>
    </font>
    <font>
      <name val="Calibri"/>
      <b val="1"/>
      <color rgb="00FFFFFF"/>
      <sz val="11"/>
    </font>
    <font>
      <name val="Calibri"/>
      <color rgb="001E293B"/>
      <sz val="10"/>
    </font>
    <font>
      <name val="Calibri"/>
      <b val="1"/>
      <color rgb="00FFFFFF"/>
      <sz val="10"/>
    </font>
    <font>
      <name val="Calibri"/>
      <i val="1"/>
      <color rgb="0064748B"/>
      <sz val="9"/>
    </font>
    <font>
      <name val="Calibri"/>
      <b val="1"/>
      <color rgb="001E293B"/>
      <sz val="10"/>
    </font>
    <font>
      <name val="Calibri"/>
      <b val="1"/>
      <color rgb="001E293B"/>
      <sz val="11"/>
    </font>
  </fonts>
  <fills count="9">
    <fill>
      <patternFill/>
    </fill>
    <fill>
      <patternFill patternType="gray125"/>
    </fill>
    <fill>
      <patternFill patternType="solid">
        <fgColor rgb="00F1F5F9"/>
      </patternFill>
    </fill>
    <fill>
      <patternFill patternType="solid">
        <fgColor rgb="001E293B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E2E8F0"/>
      </patternFill>
    </fill>
    <fill>
      <patternFill patternType="solid">
        <fgColor rgb="00C8102E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right" vertical="center"/>
    </xf>
    <xf numFmtId="10" fontId="3" fillId="4" borderId="1" applyAlignment="1" pivotButton="0" quotePrefix="0" xfId="0">
      <alignment horizontal="right" vertical="center"/>
    </xf>
    <xf numFmtId="164" fontId="3" fillId="4" borderId="1" applyAlignment="1" pivotButton="0" quotePrefix="0" xfId="0">
      <alignment horizontal="right" vertical="center"/>
    </xf>
    <xf numFmtId="164" fontId="3" fillId="5" borderId="1" applyAlignment="1" pivotButton="0" quotePrefix="0" xfId="0">
      <alignment horizontal="right" vertical="center"/>
    </xf>
    <xf numFmtId="0" fontId="3" fillId="6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right" vertical="center"/>
    </xf>
    <xf numFmtId="10" fontId="3" fillId="6" borderId="1" applyAlignment="1" pivotButton="0" quotePrefix="0" xfId="0">
      <alignment horizontal="right" vertical="center"/>
    </xf>
    <xf numFmtId="164" fontId="3" fillId="6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right" vertical="center"/>
    </xf>
    <xf numFmtId="164" fontId="4" fillId="3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left" vertical="center"/>
    </xf>
    <xf numFmtId="165" fontId="3" fillId="4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left" vertical="center"/>
    </xf>
    <xf numFmtId="165" fontId="3" fillId="6" borderId="1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/>
    </xf>
    <xf numFmtId="0" fontId="2" fillId="3" borderId="1" applyAlignment="1" pivotButton="0" quotePrefix="0" xfId="0">
      <alignment horizontal="right" vertical="center"/>
    </xf>
    <xf numFmtId="0" fontId="7" fillId="7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left" vertical="center"/>
    </xf>
    <xf numFmtId="0" fontId="4" fillId="8" borderId="1" applyAlignment="1" pivotButton="0" quotePrefix="0" xfId="0">
      <alignment horizontal="center" vertical="center" wrapText="1"/>
    </xf>
    <xf numFmtId="0" fontId="6" fillId="4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right" vertical="center"/>
    </xf>
    <xf numFmtId="10" fontId="3" fillId="5" borderId="1" applyAlignment="1" pivotButton="0" quotePrefix="0" xfId="0">
      <alignment horizontal="right" vertical="center"/>
    </xf>
    <xf numFmtId="165" fontId="3" fillId="4" borderId="1" applyAlignment="1" pivotButton="0" quotePrefix="0" xfId="0">
      <alignment horizontal="center" vertical="center" wrapText="1"/>
    </xf>
    <xf numFmtId="165" fontId="3" fillId="6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dxfs count="2">
    <dxf>
      <font>
        <b val="1"/>
        <color rgb="00DC2626"/>
      </font>
      <fill>
        <patternFill patternType="solid">
          <fgColor rgb="00FECACA"/>
        </patternFill>
      </fill>
    </dxf>
    <dxf>
      <font>
        <b val="1"/>
        <color rgb="0016A34A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Kostenanteil vs. Vorauszahlung je Einheit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'Übersicht'!F5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'Übersicht'!$E$6:$E$14</f>
            </numRef>
          </cat>
          <val>
            <numRef>
              <f>'Übersicht'!$F$6:$F$14</f>
            </numRef>
          </val>
        </ser>
        <ser>
          <idx val="1"/>
          <order val="1"/>
          <tx>
            <strRef>
              <f>'Übersicht'!G5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prstDash val="solid"/>
            </a:ln>
          </spPr>
          <cat>
            <numRef>
              <f>'Übersicht'!$E$6:$E$14</f>
            </numRef>
          </cat>
          <val>
            <numRef>
              <f>'Übersicht'!$G$6:$G$14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Einheit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Betrag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Verteilung Verteilerschlüssel</a:t>
            </a:r>
          </a:p>
        </rich>
      </tx>
    </title>
    <plotArea>
      <pieChart>
        <varyColors val="1"/>
        <ser>
          <idx val="0"/>
          <order val="0"/>
          <tx>
            <strRef>
              <f>'Übersicht'!F16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E293B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C8102E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16A34A"/>
              </a:solidFill>
              <a:ln xmlns:a="http://schemas.openxmlformats.org/drawingml/2006/main">
                <a:prstDash val="solid"/>
              </a:ln>
            </spPr>
          </dPt>
          <cat>
            <numRef>
              <f>'Übersicht'!$E$17:$E$19</f>
            </numRef>
          </cat>
          <val>
            <numRef>
              <f>'Übersicht'!$F$17:$F$19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14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14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8" customWidth="1" min="2" max="2"/>
    <col width="10" customWidth="1" min="3" max="3"/>
    <col width="20" customWidth="1" min="4" max="4"/>
    <col width="32" customWidth="1" min="5" max="5"/>
    <col width="16" customWidth="1" min="6" max="6"/>
    <col width="14" customWidth="1" min="7" max="7"/>
    <col width="10" customWidth="1" min="8" max="8"/>
    <col width="20" customWidth="1" min="9" max="9"/>
    <col width="22" customWidth="1" min="10" max="10"/>
    <col width="13" customWidth="1" min="11" max="11"/>
    <col width="16" customWidth="1" min="12" max="12"/>
    <col width="14" customWidth="1" min="13" max="13"/>
    <col width="16" customWidth="1" min="14" max="14"/>
    <col width="18" customWidth="1" min="15" max="15"/>
    <col width="22" customWidth="1" min="16" max="16"/>
    <col width="14" customWidth="1" min="17" max="17"/>
  </cols>
  <sheetData>
    <row r="1" ht="16" customHeight="1">
      <c r="A1" s="1" t="inlineStr">
        <is>
          <t>Betriebskostenabrechnung 2026 – Verteilerschlüssel nach Wohnfläche / Personen / Einheit</t>
        </is>
      </c>
    </row>
    <row r="2" ht="32" customHeight="1">
      <c r="A2" s="2" t="inlineStr">
        <is>
          <t>Abrechnungsjahr</t>
        </is>
      </c>
      <c r="B2" s="2" t="inlineStr">
        <is>
          <t>Objekt</t>
        </is>
      </c>
      <c r="C2" s="2" t="inlineStr">
        <is>
          <t>Einheit</t>
        </is>
      </c>
      <c r="D2" s="2" t="inlineStr">
        <is>
          <t>Mieter</t>
        </is>
      </c>
      <c r="E2" s="2" t="inlineStr">
        <is>
          <t>Adresse</t>
        </is>
      </c>
      <c r="F2" s="2" t="inlineStr">
        <is>
          <t>Verteilerschlüssel</t>
        </is>
      </c>
      <c r="G2" s="2" t="inlineStr">
        <is>
          <t>Wohnfläche m²</t>
        </is>
      </c>
      <c r="H2" s="2" t="inlineStr">
        <is>
          <t>Personen</t>
        </is>
      </c>
      <c r="I2" s="2" t="inlineStr">
        <is>
          <t>Gesamtfläche Objekt m²</t>
        </is>
      </c>
      <c r="J2" s="2" t="inlineStr">
        <is>
          <t>Gesamtkosten Position €</t>
        </is>
      </c>
      <c r="K2" s="2" t="inlineStr">
        <is>
          <t>Umlagefähig?</t>
        </is>
      </c>
      <c r="L2" s="2" t="inlineStr">
        <is>
          <t>Umlageschlüssel</t>
        </is>
      </c>
      <c r="M2" s="2" t="inlineStr">
        <is>
          <t>Anteilseinheit</t>
        </is>
      </c>
      <c r="N2" s="2" t="inlineStr">
        <is>
          <t>Kostenanteil €</t>
        </is>
      </c>
      <c r="O2" s="2" t="inlineStr">
        <is>
          <t>Vorauszahlungen €</t>
        </is>
      </c>
      <c r="P2" s="2" t="inlineStr">
        <is>
          <t>Nachzahlung / Guthaben €</t>
        </is>
      </c>
      <c r="Q2" s="2" t="inlineStr">
        <is>
          <t>Status</t>
        </is>
      </c>
    </row>
    <row r="3">
      <c r="A3" s="3" t="n">
        <v>2026</v>
      </c>
      <c r="B3" s="3" t="inlineStr">
        <is>
          <t>Hauptstraße 12</t>
        </is>
      </c>
      <c r="C3" s="3" t="inlineStr">
        <is>
          <t>WE-01</t>
        </is>
      </c>
      <c r="D3" s="4" t="inlineStr">
        <is>
          <t>Thomas Becker</t>
        </is>
      </c>
      <c r="E3" s="3" t="inlineStr">
        <is>
          <t>Hauptstraße 12, 10115 Berlin</t>
        </is>
      </c>
      <c r="F3" s="3" t="inlineStr">
        <is>
          <t>Wohnfläche</t>
        </is>
      </c>
      <c r="G3" s="4" t="n">
        <v>72</v>
      </c>
      <c r="H3" s="4" t="n">
        <v>2</v>
      </c>
      <c r="I3" s="4" t="n">
        <v>285</v>
      </c>
      <c r="J3" s="4" t="n">
        <v>1800</v>
      </c>
      <c r="K3" s="3" t="inlineStr">
        <is>
          <t>Ja</t>
        </is>
      </c>
      <c r="L3" s="3" t="inlineStr">
        <is>
          <t>Wohnfläche</t>
        </is>
      </c>
      <c r="M3" s="5">
        <f>IFERROR(G3/I3,0)</f>
        <v/>
      </c>
      <c r="N3" s="6">
        <f>IF(K3="Ja",J3*M3,0)</f>
        <v/>
      </c>
      <c r="O3" s="7" t="n">
        <v>2160</v>
      </c>
      <c r="P3" s="6">
        <f>N3-O3</f>
        <v/>
      </c>
      <c r="Q3" s="3">
        <f>IF(P3&gt;0,"Nachzahlung",IF(P3&lt;0,"Guthaben","Ausgeglichen"))</f>
        <v/>
      </c>
    </row>
    <row r="4">
      <c r="A4" s="8" t="n">
        <v>2026</v>
      </c>
      <c r="B4" s="8" t="inlineStr">
        <is>
          <t>Hauptstraße 12</t>
        </is>
      </c>
      <c r="C4" s="8" t="inlineStr">
        <is>
          <t>WE-02</t>
        </is>
      </c>
      <c r="D4" s="9" t="inlineStr">
        <is>
          <t>Sabine Müller</t>
        </is>
      </c>
      <c r="E4" s="8" t="inlineStr">
        <is>
          <t>Hauptstraße 12, 10115 Berlin</t>
        </is>
      </c>
      <c r="F4" s="8" t="inlineStr">
        <is>
          <t>Wohnfläche</t>
        </is>
      </c>
      <c r="G4" s="9" t="n">
        <v>85</v>
      </c>
      <c r="H4" s="9" t="n">
        <v>3</v>
      </c>
      <c r="I4" s="9" t="n">
        <v>285</v>
      </c>
      <c r="J4" s="9" t="n">
        <v>1800</v>
      </c>
      <c r="K4" s="8" t="inlineStr">
        <is>
          <t>Ja</t>
        </is>
      </c>
      <c r="L4" s="8" t="inlineStr">
        <is>
          <t>Wohnfläche</t>
        </is>
      </c>
      <c r="M4" s="10">
        <f>IFERROR(G4/I4,0)</f>
        <v/>
      </c>
      <c r="N4" s="11">
        <f>IF(K4="Ja",J4*M4,0)</f>
        <v/>
      </c>
      <c r="O4" s="7" t="n">
        <v>2640</v>
      </c>
      <c r="P4" s="11">
        <f>N4-O4</f>
        <v/>
      </c>
      <c r="Q4" s="8">
        <f>IF(P4&gt;0,"Nachzahlung",IF(P4&lt;0,"Guthaben","Ausgeglichen"))</f>
        <v/>
      </c>
    </row>
    <row r="5">
      <c r="A5" s="3" t="n">
        <v>2026</v>
      </c>
      <c r="B5" s="3" t="inlineStr">
        <is>
          <t>Hauptstraße 12</t>
        </is>
      </c>
      <c r="C5" s="3" t="inlineStr">
        <is>
          <t>WE-03</t>
        </is>
      </c>
      <c r="D5" s="4" t="inlineStr">
        <is>
          <t>Andreas Schneider</t>
        </is>
      </c>
      <c r="E5" s="3" t="inlineStr">
        <is>
          <t>Hauptstraße 12, 10115 Berlin</t>
        </is>
      </c>
      <c r="F5" s="3" t="inlineStr">
        <is>
          <t>Wohnfläche</t>
        </is>
      </c>
      <c r="G5" s="4" t="n">
        <v>128</v>
      </c>
      <c r="H5" s="4" t="n">
        <v>4</v>
      </c>
      <c r="I5" s="4" t="n">
        <v>285</v>
      </c>
      <c r="J5" s="4" t="n">
        <v>1800</v>
      </c>
      <c r="K5" s="3" t="inlineStr">
        <is>
          <t>Ja</t>
        </is>
      </c>
      <c r="L5" s="3" t="inlineStr">
        <is>
          <t>Wohnfläche</t>
        </is>
      </c>
      <c r="M5" s="5">
        <f>IFERROR(G5/I5,0)</f>
        <v/>
      </c>
      <c r="N5" s="6">
        <f>IF(K5="Ja",J5*M5,0)</f>
        <v/>
      </c>
      <c r="O5" s="7" t="n">
        <v>3720</v>
      </c>
      <c r="P5" s="6">
        <f>N5-O5</f>
        <v/>
      </c>
      <c r="Q5" s="3">
        <f>IF(P5&gt;0,"Nachzahlung",IF(P5&lt;0,"Guthaben","Ausgeglichen"))</f>
        <v/>
      </c>
    </row>
    <row r="6">
      <c r="A6" s="8" t="n">
        <v>2026</v>
      </c>
      <c r="B6" s="8" t="inlineStr">
        <is>
          <t>Lindenallee 7</t>
        </is>
      </c>
      <c r="C6" s="8" t="inlineStr">
        <is>
          <t>WE-01</t>
        </is>
      </c>
      <c r="D6" s="9" t="inlineStr">
        <is>
          <t>Petra Wagner</t>
        </is>
      </c>
      <c r="E6" s="8" t="inlineStr">
        <is>
          <t>Lindenallee 7, 50667 Köln</t>
        </is>
      </c>
      <c r="F6" s="8" t="inlineStr">
        <is>
          <t>Personen</t>
        </is>
      </c>
      <c r="G6" s="9" t="n">
        <v>65</v>
      </c>
      <c r="H6" s="9" t="n">
        <v>1</v>
      </c>
      <c r="I6" s="9" t="n">
        <v>210</v>
      </c>
      <c r="J6" s="9" t="n">
        <v>2200</v>
      </c>
      <c r="K6" s="8" t="inlineStr">
        <is>
          <t>Ja</t>
        </is>
      </c>
      <c r="L6" s="8" t="inlineStr">
        <is>
          <t>Personen</t>
        </is>
      </c>
      <c r="M6" s="10">
        <f>IFERROR(H6/(H6+H7+H8),0)</f>
        <v/>
      </c>
      <c r="N6" s="11">
        <f>IF(K6="Ja",J6*M6,0)</f>
        <v/>
      </c>
      <c r="O6" s="7" t="n">
        <v>1680</v>
      </c>
      <c r="P6" s="11">
        <f>N6-O6</f>
        <v/>
      </c>
      <c r="Q6" s="8">
        <f>IF(P6&gt;0,"Nachzahlung",IF(P6&lt;0,"Guthaben","Ausgeglichen"))</f>
        <v/>
      </c>
    </row>
    <row r="7">
      <c r="A7" s="3" t="n">
        <v>2026</v>
      </c>
      <c r="B7" s="3" t="inlineStr">
        <is>
          <t>Lindenallee 7</t>
        </is>
      </c>
      <c r="C7" s="3" t="inlineStr">
        <is>
          <t>WE-02</t>
        </is>
      </c>
      <c r="D7" s="4" t="inlineStr">
        <is>
          <t>Michael Hoffmann</t>
        </is>
      </c>
      <c r="E7" s="3" t="inlineStr">
        <is>
          <t>Lindenallee 7, 50667 Köln</t>
        </is>
      </c>
      <c r="F7" s="3" t="inlineStr">
        <is>
          <t>Personen</t>
        </is>
      </c>
      <c r="G7" s="4" t="n">
        <v>78</v>
      </c>
      <c r="H7" s="4" t="n">
        <v>3</v>
      </c>
      <c r="I7" s="4" t="n">
        <v>210</v>
      </c>
      <c r="J7" s="4" t="n">
        <v>2200</v>
      </c>
      <c r="K7" s="3" t="inlineStr">
        <is>
          <t>Ja</t>
        </is>
      </c>
      <c r="L7" s="3" t="inlineStr">
        <is>
          <t>Personen</t>
        </is>
      </c>
      <c r="M7" s="5">
        <f>IFERROR(H7/(H6+H7+H8),0)</f>
        <v/>
      </c>
      <c r="N7" s="6">
        <f>IF(K7="Ja",J7*M7,0)</f>
        <v/>
      </c>
      <c r="O7" s="7" t="n">
        <v>2400</v>
      </c>
      <c r="P7" s="6">
        <f>N7-O7</f>
        <v/>
      </c>
      <c r="Q7" s="3">
        <f>IF(P7&gt;0,"Nachzahlung",IF(P7&lt;0,"Guthaben","Ausgeglichen"))</f>
        <v/>
      </c>
    </row>
    <row r="8">
      <c r="A8" s="8" t="n">
        <v>2026</v>
      </c>
      <c r="B8" s="8" t="inlineStr">
        <is>
          <t>Lindenallee 7</t>
        </is>
      </c>
      <c r="C8" s="8" t="inlineStr">
        <is>
          <t>WE-03</t>
        </is>
      </c>
      <c r="D8" s="9" t="inlineStr">
        <is>
          <t>Julia Richter</t>
        </is>
      </c>
      <c r="E8" s="8" t="inlineStr">
        <is>
          <t>Lindenallee 7, 50667 Köln</t>
        </is>
      </c>
      <c r="F8" s="8" t="inlineStr">
        <is>
          <t>Personen</t>
        </is>
      </c>
      <c r="G8" s="9" t="n">
        <v>67</v>
      </c>
      <c r="H8" s="9" t="n">
        <v>2</v>
      </c>
      <c r="I8" s="9" t="n">
        <v>210</v>
      </c>
      <c r="J8" s="9" t="n">
        <v>2200</v>
      </c>
      <c r="K8" s="8" t="inlineStr">
        <is>
          <t>Nein</t>
        </is>
      </c>
      <c r="L8" s="8" t="inlineStr">
        <is>
          <t>Personen</t>
        </is>
      </c>
      <c r="M8" s="10">
        <f>IFERROR(H8/(H6+H7+H8),0)</f>
        <v/>
      </c>
      <c r="N8" s="11">
        <f>IF(K8="Ja",J8*M8,0)</f>
        <v/>
      </c>
      <c r="O8" s="7" t="n">
        <v>1920</v>
      </c>
      <c r="P8" s="11">
        <f>N8-O8</f>
        <v/>
      </c>
      <c r="Q8" s="8">
        <f>IF(P8&gt;0,"Nachzahlung",IF(P8&lt;0,"Guthaben","Ausgeglichen"))</f>
        <v/>
      </c>
    </row>
    <row r="9">
      <c r="A9" s="3" t="n">
        <v>2026</v>
      </c>
      <c r="B9" s="3" t="inlineStr">
        <is>
          <t>Goethestraße 45</t>
        </is>
      </c>
      <c r="C9" s="3" t="inlineStr">
        <is>
          <t>WE-01</t>
        </is>
      </c>
      <c r="D9" s="4" t="inlineStr">
        <is>
          <t>Stefan Weber</t>
        </is>
      </c>
      <c r="E9" s="3" t="inlineStr">
        <is>
          <t>Goethestraße 45, 20095 Hamburg</t>
        </is>
      </c>
      <c r="F9" s="3" t="inlineStr">
        <is>
          <t>Einheit</t>
        </is>
      </c>
      <c r="G9" s="4" t="n">
        <v>90</v>
      </c>
      <c r="H9" s="4" t="n">
        <v>2</v>
      </c>
      <c r="I9" s="4" t="n">
        <v>270</v>
      </c>
      <c r="J9" s="4" t="n">
        <v>3100</v>
      </c>
      <c r="K9" s="3" t="inlineStr">
        <is>
          <t>Ja</t>
        </is>
      </c>
      <c r="L9" s="3" t="inlineStr">
        <is>
          <t>Einheit</t>
        </is>
      </c>
      <c r="M9" s="5">
        <f>IFERROR(1/3,0)</f>
        <v/>
      </c>
      <c r="N9" s="6">
        <f>IF(K9="Ja",J9*M9,0)</f>
        <v/>
      </c>
      <c r="O9" s="7" t="n">
        <v>3000</v>
      </c>
      <c r="P9" s="6">
        <f>N9-O9</f>
        <v/>
      </c>
      <c r="Q9" s="3">
        <f>IF(P9&gt;0,"Nachzahlung",IF(P9&lt;0,"Guthaben","Ausgeglichen"))</f>
        <v/>
      </c>
    </row>
    <row r="10">
      <c r="A10" s="8" t="n">
        <v>2026</v>
      </c>
      <c r="B10" s="8" t="inlineStr">
        <is>
          <t>Goethestraße 45</t>
        </is>
      </c>
      <c r="C10" s="8" t="inlineStr">
        <is>
          <t>WE-02</t>
        </is>
      </c>
      <c r="D10" s="9" t="inlineStr">
        <is>
          <t>Claudia Fischer</t>
        </is>
      </c>
      <c r="E10" s="8" t="inlineStr">
        <is>
          <t>Goethestraße 45, 20095 Hamburg</t>
        </is>
      </c>
      <c r="F10" s="8" t="inlineStr">
        <is>
          <t>Einheit</t>
        </is>
      </c>
      <c r="G10" s="9" t="n">
        <v>88</v>
      </c>
      <c r="H10" s="9" t="n">
        <v>3</v>
      </c>
      <c r="I10" s="9" t="n">
        <v>270</v>
      </c>
      <c r="J10" s="9" t="n">
        <v>3100</v>
      </c>
      <c r="K10" s="8" t="inlineStr">
        <is>
          <t>Ja</t>
        </is>
      </c>
      <c r="L10" s="8" t="inlineStr">
        <is>
          <t>Einheit</t>
        </is>
      </c>
      <c r="M10" s="10">
        <f>IFERROR(1/3,0)</f>
        <v/>
      </c>
      <c r="N10" s="11">
        <f>IF(K10="Ja",J10*M10,0)</f>
        <v/>
      </c>
      <c r="O10" s="7" t="n">
        <v>2880</v>
      </c>
      <c r="P10" s="11">
        <f>N10-O10</f>
        <v/>
      </c>
      <c r="Q10" s="8">
        <f>IF(P10&gt;0,"Nachzahlung",IF(P10&lt;0,"Guthaben","Ausgeglichen"))</f>
        <v/>
      </c>
    </row>
    <row r="11">
      <c r="A11" s="3" t="n">
        <v>2026</v>
      </c>
      <c r="B11" s="3" t="inlineStr">
        <is>
          <t>Goethestraße 45</t>
        </is>
      </c>
      <c r="C11" s="3" t="inlineStr">
        <is>
          <t>WE-03</t>
        </is>
      </c>
      <c r="D11" s="4" t="inlineStr">
        <is>
          <t>Markus Bauer</t>
        </is>
      </c>
      <c r="E11" s="3" t="inlineStr">
        <is>
          <t>Goethestraße 45, 20095 Hamburg</t>
        </is>
      </c>
      <c r="F11" s="3" t="inlineStr">
        <is>
          <t>Einheit</t>
        </is>
      </c>
      <c r="G11" s="4" t="n">
        <v>92</v>
      </c>
      <c r="H11" s="4" t="n">
        <v>2</v>
      </c>
      <c r="I11" s="4" t="n">
        <v>270</v>
      </c>
      <c r="J11" s="4" t="n">
        <v>3100</v>
      </c>
      <c r="K11" s="3" t="inlineStr">
        <is>
          <t>Ja</t>
        </is>
      </c>
      <c r="L11" s="3" t="inlineStr">
        <is>
          <t>Einheit</t>
        </is>
      </c>
      <c r="M11" s="5">
        <f>IFERROR(1/3,0)</f>
        <v/>
      </c>
      <c r="N11" s="6">
        <f>IF(K11="Ja",J11*M11,0)</f>
        <v/>
      </c>
      <c r="O11" s="7" t="n">
        <v>3120</v>
      </c>
      <c r="P11" s="6">
        <f>N11-O11</f>
        <v/>
      </c>
      <c r="Q11" s="3">
        <f>IF(P11&gt;0,"Nachzahlung",IF(P11&lt;0,"Guthaben","Ausgeglichen"))</f>
        <v/>
      </c>
    </row>
    <row r="12">
      <c r="A12" s="12" t="inlineStr">
        <is>
          <t>SUMME</t>
        </is>
      </c>
      <c r="B12" s="13" t="n"/>
      <c r="C12" s="13" t="n"/>
      <c r="D12" s="13" t="n"/>
      <c r="E12" s="13" t="n"/>
      <c r="F12" s="13" t="n"/>
      <c r="G12" s="13" t="n"/>
      <c r="H12" s="13" t="n"/>
      <c r="I12" s="13" t="n"/>
      <c r="J12" s="13" t="n"/>
      <c r="K12" s="13" t="n"/>
      <c r="L12" s="13" t="n"/>
      <c r="M12" s="13" t="n"/>
      <c r="N12" s="14">
        <f>SUM(N3:N11)</f>
        <v/>
      </c>
      <c r="O12" s="14">
        <f>SUM(O3:O11)</f>
        <v/>
      </c>
      <c r="P12" s="14">
        <f>SUM(P3:P11)</f>
        <v/>
      </c>
      <c r="Q12" s="13" t="n"/>
    </row>
  </sheetData>
  <mergeCells count="1">
    <mergeCell ref="A1:Q1"/>
  </mergeCells>
  <conditionalFormatting sqref="P3:P11">
    <cfRule type="expression" priority="1" dxfId="0" stopIfTrue="0">
      <formula>P3&gt;0</formula>
    </cfRule>
    <cfRule type="expression" priority="2" dxfId="1" stopIfTrue="0">
      <formula>P3&lt;0</formula>
    </cfRule>
  </conditionalFormatting>
  <dataValidations count="2">
    <dataValidation sqref="K3:K100" showErrorMessage="1" showInputMessage="1" allowBlank="0" type="list">
      <formula1>"Ja,Nein"</formula1>
    </dataValidation>
    <dataValidation sqref="F3:F100" showErrorMessage="1" showInputMessage="1" allowBlank="0" type="list">
      <formula1>"Wohnfläche,Personen,Einheit"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P1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0" customWidth="1" min="1" max="1"/>
    <col width="18" customWidth="1" min="2" max="2"/>
    <col width="20" customWidth="1" min="3" max="3"/>
    <col width="8" customWidth="1" min="4" max="4"/>
    <col width="16" customWidth="1" min="5" max="5"/>
    <col width="10" customWidth="1" min="6" max="6"/>
    <col width="22" customWidth="1" min="7" max="7"/>
    <col width="15" customWidth="1" min="8" max="8"/>
    <col width="15" customWidth="1" min="9" max="9"/>
    <col width="14" customWidth="1" min="10" max="10"/>
    <col width="10" customWidth="1" min="11" max="11"/>
    <col width="18" customWidth="1" min="12" max="12"/>
    <col width="18" customWidth="1" min="13" max="13"/>
    <col width="16" customWidth="1" min="14" max="14"/>
    <col width="20" customWidth="1" min="15" max="15"/>
    <col width="18" customWidth="1" min="16" max="16"/>
  </cols>
  <sheetData>
    <row r="1">
      <c r="A1" s="1" t="inlineStr">
        <is>
          <t>Stammdaten: Objekte &amp; Mieter – Verteilerschlüssel und Vorauszahlungen 2026</t>
        </is>
      </c>
    </row>
    <row r="2" ht="32" customHeight="1">
      <c r="A2" s="2" t="inlineStr">
        <is>
          <t>Objekt-ID</t>
        </is>
      </c>
      <c r="B2" s="2" t="inlineStr">
        <is>
          <t>Objektname</t>
        </is>
      </c>
      <c r="C2" s="2" t="inlineStr">
        <is>
          <t>Straße</t>
        </is>
      </c>
      <c r="D2" s="2" t="inlineStr">
        <is>
          <t>PLZ</t>
        </is>
      </c>
      <c r="E2" s="2" t="inlineStr">
        <is>
          <t>Ort</t>
        </is>
      </c>
      <c r="F2" s="2" t="inlineStr">
        <is>
          <t>Einheit</t>
        </is>
      </c>
      <c r="G2" s="2" t="inlineStr">
        <is>
          <t>Mieter</t>
        </is>
      </c>
      <c r="H2" s="2" t="inlineStr">
        <is>
          <t>Einzugsdatum</t>
        </is>
      </c>
      <c r="I2" s="2" t="inlineStr">
        <is>
          <t>Auszugsdatum</t>
        </is>
      </c>
      <c r="J2" s="2" t="inlineStr">
        <is>
          <t>Wohnfläche m²</t>
        </is>
      </c>
      <c r="K2" s="2" t="inlineStr">
        <is>
          <t>Personen</t>
        </is>
      </c>
      <c r="L2" s="2" t="inlineStr">
        <is>
          <t>Verteilerschlüssel</t>
        </is>
      </c>
      <c r="M2" s="2" t="inlineStr">
        <is>
          <t>Monatliche VZ €</t>
        </is>
      </c>
      <c r="N2" s="2" t="inlineStr">
        <is>
          <t>Heizkosten-VZ €</t>
        </is>
      </c>
      <c r="O2" s="2" t="inlineStr">
        <is>
          <t>Betriebskosten-VZ €</t>
        </is>
      </c>
      <c r="P2" s="2" t="inlineStr">
        <is>
          <t>Jahres-VZ gesamt €</t>
        </is>
      </c>
    </row>
    <row r="3">
      <c r="A3" s="3" t="inlineStr">
        <is>
          <t>OBJ-01</t>
        </is>
      </c>
      <c r="B3" s="3" t="inlineStr">
        <is>
          <t>Hauptstraße 12</t>
        </is>
      </c>
      <c r="C3" s="15" t="inlineStr">
        <is>
          <t>Hauptstraße 12</t>
        </is>
      </c>
      <c r="D3" s="15" t="inlineStr">
        <is>
          <t>10115</t>
        </is>
      </c>
      <c r="E3" s="15" t="inlineStr">
        <is>
          <t>Berlin</t>
        </is>
      </c>
      <c r="F3" s="15" t="inlineStr">
        <is>
          <t>WE-01</t>
        </is>
      </c>
      <c r="G3" s="15" t="inlineStr">
        <is>
          <t>Thomas Becker</t>
        </is>
      </c>
      <c r="H3" s="28" t="n">
        <v>43525</v>
      </c>
      <c r="I3" s="15" t="inlineStr"/>
      <c r="J3" s="4" t="n">
        <v>72</v>
      </c>
      <c r="K3" s="4" t="n">
        <v>2</v>
      </c>
      <c r="L3" s="15" t="inlineStr">
        <is>
          <t>Wohnfläche</t>
        </is>
      </c>
      <c r="M3" s="6" t="n">
        <v>180</v>
      </c>
      <c r="N3" s="6" t="n">
        <v>60</v>
      </c>
      <c r="O3" s="6" t="n">
        <v>120</v>
      </c>
      <c r="P3" s="6">
        <f>M3*12</f>
        <v/>
      </c>
    </row>
    <row r="4">
      <c r="A4" s="8" t="inlineStr">
        <is>
          <t>OBJ-01</t>
        </is>
      </c>
      <c r="B4" s="8" t="inlineStr">
        <is>
          <t>Hauptstraße 12</t>
        </is>
      </c>
      <c r="C4" s="17" t="inlineStr">
        <is>
          <t>Hauptstraße 12</t>
        </is>
      </c>
      <c r="D4" s="17" t="inlineStr">
        <is>
          <t>10115</t>
        </is>
      </c>
      <c r="E4" s="17" t="inlineStr">
        <is>
          <t>Berlin</t>
        </is>
      </c>
      <c r="F4" s="17" t="inlineStr">
        <is>
          <t>WE-02</t>
        </is>
      </c>
      <c r="G4" s="17" t="inlineStr">
        <is>
          <t>Sabine Müller</t>
        </is>
      </c>
      <c r="H4" s="29" t="n">
        <v>44392</v>
      </c>
      <c r="I4" s="17" t="inlineStr"/>
      <c r="J4" s="9" t="n">
        <v>85</v>
      </c>
      <c r="K4" s="9" t="n">
        <v>3</v>
      </c>
      <c r="L4" s="17" t="inlineStr">
        <is>
          <t>Wohnfläche</t>
        </is>
      </c>
      <c r="M4" s="11" t="n">
        <v>220</v>
      </c>
      <c r="N4" s="11" t="n">
        <v>75</v>
      </c>
      <c r="O4" s="11" t="n">
        <v>145</v>
      </c>
      <c r="P4" s="11">
        <f>M4*12</f>
        <v/>
      </c>
    </row>
    <row r="5">
      <c r="A5" s="3" t="inlineStr">
        <is>
          <t>OBJ-01</t>
        </is>
      </c>
      <c r="B5" s="3" t="inlineStr">
        <is>
          <t>Hauptstraße 12</t>
        </is>
      </c>
      <c r="C5" s="15" t="inlineStr">
        <is>
          <t>Hauptstraße 12</t>
        </is>
      </c>
      <c r="D5" s="15" t="inlineStr">
        <is>
          <t>10115</t>
        </is>
      </c>
      <c r="E5" s="15" t="inlineStr">
        <is>
          <t>Berlin</t>
        </is>
      </c>
      <c r="F5" s="15" t="inlineStr">
        <is>
          <t>WE-03</t>
        </is>
      </c>
      <c r="G5" s="15" t="inlineStr">
        <is>
          <t>Andreas Schneider</t>
        </is>
      </c>
      <c r="H5" s="28" t="n">
        <v>43040</v>
      </c>
      <c r="I5" s="15" t="inlineStr"/>
      <c r="J5" s="4" t="n">
        <v>128</v>
      </c>
      <c r="K5" s="4" t="n">
        <v>4</v>
      </c>
      <c r="L5" s="15" t="inlineStr">
        <is>
          <t>Wohnfläche</t>
        </is>
      </c>
      <c r="M5" s="6" t="n">
        <v>310</v>
      </c>
      <c r="N5" s="6" t="n">
        <v>110</v>
      </c>
      <c r="O5" s="6" t="n">
        <v>200</v>
      </c>
      <c r="P5" s="6">
        <f>M5*12</f>
        <v/>
      </c>
    </row>
    <row r="6">
      <c r="A6" s="8" t="inlineStr">
        <is>
          <t>OBJ-02</t>
        </is>
      </c>
      <c r="B6" s="8" t="inlineStr">
        <is>
          <t>Lindenallee 7</t>
        </is>
      </c>
      <c r="C6" s="17" t="inlineStr">
        <is>
          <t>Lindenallee 7</t>
        </is>
      </c>
      <c r="D6" s="17" t="inlineStr">
        <is>
          <t>50667</t>
        </is>
      </c>
      <c r="E6" s="17" t="inlineStr">
        <is>
          <t>Köln</t>
        </is>
      </c>
      <c r="F6" s="17" t="inlineStr">
        <is>
          <t>WE-01</t>
        </is>
      </c>
      <c r="G6" s="17" t="inlineStr">
        <is>
          <t>Petra Wagner</t>
        </is>
      </c>
      <c r="H6" s="29" t="n">
        <v>44562</v>
      </c>
      <c r="I6" s="17" t="inlineStr"/>
      <c r="J6" s="9" t="n">
        <v>65</v>
      </c>
      <c r="K6" s="9" t="n">
        <v>1</v>
      </c>
      <c r="L6" s="17" t="inlineStr">
        <is>
          <t>Personen</t>
        </is>
      </c>
      <c r="M6" s="11" t="n">
        <v>140</v>
      </c>
      <c r="N6" s="11" t="n">
        <v>45</v>
      </c>
      <c r="O6" s="11" t="n">
        <v>95</v>
      </c>
      <c r="P6" s="11">
        <f>M6*12</f>
        <v/>
      </c>
    </row>
    <row r="7">
      <c r="A7" s="3" t="inlineStr">
        <is>
          <t>OBJ-02</t>
        </is>
      </c>
      <c r="B7" s="3" t="inlineStr">
        <is>
          <t>Lindenallee 7</t>
        </is>
      </c>
      <c r="C7" s="15" t="inlineStr">
        <is>
          <t>Lindenallee 7</t>
        </is>
      </c>
      <c r="D7" s="15" t="inlineStr">
        <is>
          <t>50667</t>
        </is>
      </c>
      <c r="E7" s="15" t="inlineStr">
        <is>
          <t>Köln</t>
        </is>
      </c>
      <c r="F7" s="15" t="inlineStr">
        <is>
          <t>WE-02</t>
        </is>
      </c>
      <c r="G7" s="15" t="inlineStr">
        <is>
          <t>Michael Hoffmann</t>
        </is>
      </c>
      <c r="H7" s="28" t="n">
        <v>43922</v>
      </c>
      <c r="I7" s="15" t="inlineStr"/>
      <c r="J7" s="4" t="n">
        <v>78</v>
      </c>
      <c r="K7" s="4" t="n">
        <v>3</v>
      </c>
      <c r="L7" s="15" t="inlineStr">
        <is>
          <t>Personen</t>
        </is>
      </c>
      <c r="M7" s="6" t="n">
        <v>200</v>
      </c>
      <c r="N7" s="6" t="n">
        <v>70</v>
      </c>
      <c r="O7" s="6" t="n">
        <v>130</v>
      </c>
      <c r="P7" s="6">
        <f>M7*12</f>
        <v/>
      </c>
    </row>
    <row r="8">
      <c r="A8" s="8" t="inlineStr">
        <is>
          <t>OBJ-02</t>
        </is>
      </c>
      <c r="B8" s="8" t="inlineStr">
        <is>
          <t>Lindenallee 7</t>
        </is>
      </c>
      <c r="C8" s="17" t="inlineStr">
        <is>
          <t>Lindenallee 7</t>
        </is>
      </c>
      <c r="D8" s="17" t="inlineStr">
        <is>
          <t>50667</t>
        </is>
      </c>
      <c r="E8" s="17" t="inlineStr">
        <is>
          <t>Köln</t>
        </is>
      </c>
      <c r="F8" s="17" t="inlineStr">
        <is>
          <t>WE-03</t>
        </is>
      </c>
      <c r="G8" s="17" t="inlineStr">
        <is>
          <t>Julia Richter</t>
        </is>
      </c>
      <c r="H8" s="29" t="n">
        <v>45170</v>
      </c>
      <c r="I8" s="17" t="inlineStr"/>
      <c r="J8" s="9" t="n">
        <v>67</v>
      </c>
      <c r="K8" s="9" t="n">
        <v>2</v>
      </c>
      <c r="L8" s="17" t="inlineStr">
        <is>
          <t>Personen</t>
        </is>
      </c>
      <c r="M8" s="11" t="n">
        <v>160</v>
      </c>
      <c r="N8" s="11" t="n">
        <v>55</v>
      </c>
      <c r="O8" s="11" t="n">
        <v>105</v>
      </c>
      <c r="P8" s="11">
        <f>M8*12</f>
        <v/>
      </c>
    </row>
    <row r="9">
      <c r="A9" s="3" t="inlineStr">
        <is>
          <t>OBJ-03</t>
        </is>
      </c>
      <c r="B9" s="3" t="inlineStr">
        <is>
          <t>Goethestraße 45</t>
        </is>
      </c>
      <c r="C9" s="15" t="inlineStr">
        <is>
          <t>Goethestraße 45</t>
        </is>
      </c>
      <c r="D9" s="15" t="inlineStr">
        <is>
          <t>20095</t>
        </is>
      </c>
      <c r="E9" s="15" t="inlineStr">
        <is>
          <t>Hamburg</t>
        </is>
      </c>
      <c r="F9" s="15" t="inlineStr">
        <is>
          <t>WE-01</t>
        </is>
      </c>
      <c r="G9" s="15" t="inlineStr">
        <is>
          <t>Stefan Weber</t>
        </is>
      </c>
      <c r="H9" s="28" t="n">
        <v>43252</v>
      </c>
      <c r="I9" s="15" t="inlineStr"/>
      <c r="J9" s="4" t="n">
        <v>90</v>
      </c>
      <c r="K9" s="4" t="n">
        <v>2</v>
      </c>
      <c r="L9" s="15" t="inlineStr">
        <is>
          <t>Einheit</t>
        </is>
      </c>
      <c r="M9" s="6" t="n">
        <v>250</v>
      </c>
      <c r="N9" s="6" t="n">
        <v>85</v>
      </c>
      <c r="O9" s="6" t="n">
        <v>165</v>
      </c>
      <c r="P9" s="6">
        <f>M9*12</f>
        <v/>
      </c>
    </row>
    <row r="10">
      <c r="A10" s="8" t="inlineStr">
        <is>
          <t>OBJ-03</t>
        </is>
      </c>
      <c r="B10" s="8" t="inlineStr">
        <is>
          <t>Goethestraße 45</t>
        </is>
      </c>
      <c r="C10" s="17" t="inlineStr">
        <is>
          <t>Goethestraße 45</t>
        </is>
      </c>
      <c r="D10" s="17" t="inlineStr">
        <is>
          <t>20095</t>
        </is>
      </c>
      <c r="E10" s="17" t="inlineStr">
        <is>
          <t>Hamburg</t>
        </is>
      </c>
      <c r="F10" s="17" t="inlineStr">
        <is>
          <t>WE-02</t>
        </is>
      </c>
      <c r="G10" s="17" t="inlineStr">
        <is>
          <t>Claudia Fischer</t>
        </is>
      </c>
      <c r="H10" s="29" t="n">
        <v>44228</v>
      </c>
      <c r="I10" s="17" t="inlineStr"/>
      <c r="J10" s="9" t="n">
        <v>88</v>
      </c>
      <c r="K10" s="9" t="n">
        <v>3</v>
      </c>
      <c r="L10" s="17" t="inlineStr">
        <is>
          <t>Einheit</t>
        </is>
      </c>
      <c r="M10" s="11" t="n">
        <v>240</v>
      </c>
      <c r="N10" s="11" t="n">
        <v>80</v>
      </c>
      <c r="O10" s="11" t="n">
        <v>160</v>
      </c>
      <c r="P10" s="11">
        <f>M10*12</f>
        <v/>
      </c>
    </row>
    <row r="11">
      <c r="A11" s="3" t="inlineStr">
        <is>
          <t>OBJ-03</t>
        </is>
      </c>
      <c r="B11" s="3" t="inlineStr">
        <is>
          <t>Goethestraße 45</t>
        </is>
      </c>
      <c r="C11" s="15" t="inlineStr">
        <is>
          <t>Goethestraße 45</t>
        </is>
      </c>
      <c r="D11" s="15" t="inlineStr">
        <is>
          <t>20095</t>
        </is>
      </c>
      <c r="E11" s="15" t="inlineStr">
        <is>
          <t>Hamburg</t>
        </is>
      </c>
      <c r="F11" s="15" t="inlineStr">
        <is>
          <t>WE-03</t>
        </is>
      </c>
      <c r="G11" s="15" t="inlineStr">
        <is>
          <t>Markus Bauer</t>
        </is>
      </c>
      <c r="H11" s="28" t="n">
        <v>46023</v>
      </c>
      <c r="I11" s="15" t="inlineStr"/>
      <c r="J11" s="4" t="n">
        <v>92</v>
      </c>
      <c r="K11" s="4" t="n">
        <v>2</v>
      </c>
      <c r="L11" s="15" t="inlineStr">
        <is>
          <t>Einheit</t>
        </is>
      </c>
      <c r="M11" s="6" t="n">
        <v>260</v>
      </c>
      <c r="N11" s="6" t="n">
        <v>90</v>
      </c>
      <c r="O11" s="6" t="n">
        <v>170</v>
      </c>
      <c r="P11" s="6">
        <f>M11*12</f>
        <v/>
      </c>
    </row>
  </sheetData>
  <mergeCells count="1">
    <mergeCell ref="A1:P1"/>
  </mergeCells>
  <dataValidations count="2">
    <dataValidation sqref="L3:L100" showErrorMessage="1" showInputMessage="1" allowBlank="0" type="list">
      <formula1>"Wohnfläche,Personen,Einheit"</formula1>
    </dataValidation>
    <dataValidation sqref="E3:E100" showErrorMessage="1" showInputMessage="1" allowBlank="1" type="list">
      <formula1>"Berlin,München,Hamburg,Köln,Frankfurt am Main,Stuttgart,Düsseldorf,Leipzig,Dresden,Dortmund"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12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20" customHeight="1">
      <c r="A1" s="1" t="inlineStr">
        <is>
          <t>Übersicht &amp; Auswertung – Betriebskostenabrechnung 2026</t>
        </is>
      </c>
    </row>
    <row r="2" ht="14" customHeight="1">
      <c r="A2" s="19" t="inlineStr">
        <is>
          <t>Abrechnungszeitraum: 01.01.2026 – 31.12.2026  |  Erstellt: 19.06.2026</t>
        </is>
      </c>
    </row>
    <row r="3"/>
    <row r="4">
      <c r="A4" s="20" t="inlineStr">
        <is>
          <t>Kennzahl</t>
        </is>
      </c>
      <c r="B4" s="21" t="inlineStr">
        <is>
          <t>Wert</t>
        </is>
      </c>
      <c r="C4" s="2" t="inlineStr">
        <is>
          <t>Einheit</t>
        </is>
      </c>
      <c r="E4" s="22" t="inlineStr">
        <is>
          <t>Kostenanteil vs. Vorauszahlung je Einheit</t>
        </is>
      </c>
      <c r="F4" s="30" t="n"/>
      <c r="G4" s="30" t="n"/>
      <c r="H4" s="31" t="n"/>
    </row>
    <row r="5">
      <c r="A5" s="23" t="inlineStr">
        <is>
          <t>Gesamtkosten umlagefähig (€)</t>
        </is>
      </c>
      <c r="B5" s="7">
        <f>SUMIF('Abrechnung 2026'!K3:K11,"Ja",'Abrechnung 2026'!N3:N11)</f>
        <v/>
      </c>
      <c r="C5" s="8" t="inlineStr">
        <is>
          <t>€</t>
        </is>
      </c>
      <c r="E5" s="24" t="inlineStr">
        <is>
          <t>Einheit</t>
        </is>
      </c>
      <c r="F5" s="24" t="inlineStr">
        <is>
          <t>Kostenanteil €</t>
        </is>
      </c>
      <c r="G5" s="24" t="inlineStr">
        <is>
          <t>Vorauszahlung €</t>
        </is>
      </c>
    </row>
    <row r="6">
      <c r="A6" s="25" t="inlineStr">
        <is>
          <t>Gesamte Vorauszahlungen (€)</t>
        </is>
      </c>
      <c r="B6" s="7">
        <f>SUM('Abrechnung 2026'!O3:O11)</f>
        <v/>
      </c>
      <c r="C6" s="3" t="inlineStr">
        <is>
          <t>€</t>
        </is>
      </c>
      <c r="E6" s="3" t="inlineStr">
        <is>
          <t>WE-01 (Hstr.)</t>
        </is>
      </c>
      <c r="F6" s="6">
        <f>'Abrechnung 2026'!N3</f>
        <v/>
      </c>
      <c r="G6" s="6">
        <f>'Abrechnung 2026'!O3</f>
        <v/>
      </c>
    </row>
    <row r="7">
      <c r="A7" s="23" t="inlineStr">
        <is>
          <t>Summe Nachzahlungen (€)</t>
        </is>
      </c>
      <c r="B7" s="7">
        <f>SUMIF('Abrechnung 2026'!Q3:Q11,"Nachzahlung",'Abrechnung 2026'!P3:P11)</f>
        <v/>
      </c>
      <c r="C7" s="8" t="inlineStr">
        <is>
          <t>€</t>
        </is>
      </c>
      <c r="E7" s="8" t="inlineStr">
        <is>
          <t>WE-02 (Hstr.)</t>
        </is>
      </c>
      <c r="F7" s="11">
        <f>'Abrechnung 2026'!N4</f>
        <v/>
      </c>
      <c r="G7" s="11">
        <f>'Abrechnung 2026'!O4</f>
        <v/>
      </c>
    </row>
    <row r="8">
      <c r="A8" s="25" t="inlineStr">
        <is>
          <t>Summe Guthaben (€)</t>
        </is>
      </c>
      <c r="B8" s="7">
        <f>SUMIF('Abrechnung 2026'!Q3:Q11,"Guthaben",'Abrechnung 2026'!P3:P11)</f>
        <v/>
      </c>
      <c r="C8" s="3" t="inlineStr">
        <is>
          <t>€</t>
        </is>
      </c>
      <c r="E8" s="3" t="inlineStr">
        <is>
          <t>WE-03 (Hstr.)</t>
        </is>
      </c>
      <c r="F8" s="6">
        <f>'Abrechnung 2026'!N5</f>
        <v/>
      </c>
      <c r="G8" s="6">
        <f>'Abrechnung 2026'!O5</f>
        <v/>
      </c>
    </row>
    <row r="9">
      <c r="A9" s="23" t="inlineStr">
        <is>
          <t>Anzahl Nachzahlungen</t>
        </is>
      </c>
      <c r="B9" s="26">
        <f>COUNTIF('Abrechnung 2026'!Q3:Q11,"Nachzahlung")</f>
        <v/>
      </c>
      <c r="C9" s="8" t="inlineStr">
        <is>
          <t>Einheiten</t>
        </is>
      </c>
      <c r="E9" s="8" t="inlineStr">
        <is>
          <t>WE-01 (Lind.)</t>
        </is>
      </c>
      <c r="F9" s="11">
        <f>'Abrechnung 2026'!N6</f>
        <v/>
      </c>
      <c r="G9" s="11">
        <f>'Abrechnung 2026'!O6</f>
        <v/>
      </c>
    </row>
    <row r="10">
      <c r="A10" s="25" t="inlineStr">
        <is>
          <t>Anzahl Guthaben</t>
        </is>
      </c>
      <c r="B10" s="26">
        <f>COUNTIF('Abrechnung 2026'!Q3:Q11,"Guthaben")</f>
        <v/>
      </c>
      <c r="C10" s="3" t="inlineStr">
        <is>
          <t>Einheiten</t>
        </is>
      </c>
      <c r="E10" s="3" t="inlineStr">
        <is>
          <t>WE-02 (Lind.)</t>
        </is>
      </c>
      <c r="F10" s="6">
        <f>'Abrechnung 2026'!N7</f>
        <v/>
      </c>
      <c r="G10" s="6">
        <f>'Abrechnung 2026'!O7</f>
        <v/>
      </c>
    </row>
    <row r="11">
      <c r="A11" s="23" t="inlineStr">
        <is>
          <t>Durchschnittlicher Kostenanteil (€)</t>
        </is>
      </c>
      <c r="B11" s="7">
        <f>IFERROR(AVERAGE('Abrechnung 2026'!N3:N11),0)</f>
        <v/>
      </c>
      <c r="C11" s="8" t="inlineStr">
        <is>
          <t>€</t>
        </is>
      </c>
      <c r="E11" s="8" t="inlineStr">
        <is>
          <t>WE-03 (Lind.)</t>
        </is>
      </c>
      <c r="F11" s="11">
        <f>'Abrechnung 2026'!N8</f>
        <v/>
      </c>
      <c r="G11" s="11">
        <f>'Abrechnung 2026'!O8</f>
        <v/>
      </c>
    </row>
    <row r="12">
      <c r="A12" s="25" t="inlineStr">
        <is>
          <t>Anzahl aktiver Einheiten</t>
        </is>
      </c>
      <c r="B12" s="26">
        <f>COUNTA('Abrechnung 2026'!C3:C11)</f>
        <v/>
      </c>
      <c r="C12" s="3" t="inlineStr">
        <is>
          <t>Einheiten</t>
        </is>
      </c>
      <c r="E12" s="3" t="inlineStr">
        <is>
          <t>WE-01 (Goethe)</t>
        </is>
      </c>
      <c r="F12" s="6">
        <f>'Abrechnung 2026'!N9</f>
        <v/>
      </c>
      <c r="G12" s="6">
        <f>'Abrechnung 2026'!O9</f>
        <v/>
      </c>
    </row>
    <row r="13">
      <c r="A13" s="23" t="inlineStr">
        <is>
          <t>Quote umlagefähiger Kosten</t>
        </is>
      </c>
      <c r="B13" s="27">
        <f>IFERROR(SUMIF('Abrechnung 2026'!K3:K11,"Ja",'Abrechnung 2026'!J3:J11)/SUM('Abrechnung 2026'!J3:J11),0)</f>
        <v/>
      </c>
      <c r="C13" s="8" t="inlineStr">
        <is>
          <t>%</t>
        </is>
      </c>
      <c r="E13" s="8" t="inlineStr">
        <is>
          <t>WE-02 (Goethe)</t>
        </is>
      </c>
      <c r="F13" s="11">
        <f>'Abrechnung 2026'!N10</f>
        <v/>
      </c>
      <c r="G13" s="11">
        <f>'Abrechnung 2026'!O10</f>
        <v/>
      </c>
    </row>
    <row r="14">
      <c r="E14" s="3" t="inlineStr">
        <is>
          <t>WE-03 (Goethe)</t>
        </is>
      </c>
      <c r="F14" s="6">
        <f>'Abrechnung 2026'!N11</f>
        <v/>
      </c>
      <c r="G14" s="6">
        <f>'Abrechnung 2026'!O11</f>
        <v/>
      </c>
    </row>
    <row r="15"/>
    <row r="16">
      <c r="E16" s="24" t="inlineStr">
        <is>
          <t>Verteilerschlüssel</t>
        </is>
      </c>
      <c r="F16" s="24" t="inlineStr">
        <is>
          <t>Anzahl</t>
        </is>
      </c>
    </row>
    <row r="17">
      <c r="E17" s="15" t="inlineStr">
        <is>
          <t>Wohnfläche</t>
        </is>
      </c>
      <c r="F17" s="4">
        <f>COUNTIF('Abrechnung 2026'!F3:F11,"Wohnfläche")</f>
        <v/>
      </c>
    </row>
    <row r="18">
      <c r="E18" s="17" t="inlineStr">
        <is>
          <t>Personen</t>
        </is>
      </c>
      <c r="F18" s="9">
        <f>COUNTIF('Abrechnung 2026'!F3:F11,"Personen")</f>
        <v/>
      </c>
    </row>
    <row r="19">
      <c r="E19" s="15" t="inlineStr">
        <is>
          <t>Einheit</t>
        </is>
      </c>
      <c r="F19" s="4">
        <f>COUNTIF('Abrechnung 2026'!F3:F11,"Einheit")</f>
        <v/>
      </c>
    </row>
  </sheetData>
  <mergeCells count="3">
    <mergeCell ref="A1:H1"/>
    <mergeCell ref="A2:H2"/>
    <mergeCell ref="E4:H4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2026-06-19T11:46:57Z</dcterms:created>
  <dcterms:modified xmlns:dcterms="http://purl.org/dc/terms/" xmlns:xsi="http://www.w3.org/2001/XMLSchema-instance" xsi:type="dcterms:W3CDTF">2026-06-19T11:46:57Z</dcterms:modified>
</cp:coreProperties>
</file>